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E:\dede\sentimen\mypertamina\"/>
    </mc:Choice>
  </mc:AlternateContent>
  <xr:revisionPtr revIDLastSave="0" documentId="8_{5BE031F7-F6F1-4501-B5E1-A31EA90A552C}" xr6:coauthVersionLast="47" xr6:coauthVersionMax="47" xr10:uidLastSave="{00000000-0000-0000-0000-000000000000}"/>
  <bookViews>
    <workbookView xWindow="-120" yWindow="-120" windowWidth="20730" windowHeight="11160" xr2:uid="{00000000-000D-0000-FFFF-FFFF00000000}"/>
  </bookViews>
  <sheets>
    <sheet name="myPertaminaTranslate_0" sheetId="1" r:id="rId1"/>
  </sheets>
  <definedNames>
    <definedName name="_xlnm._FilterDatabase" localSheetId="0" hidden="1">myPertaminaTranslate_0!$A$1:$A$6739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41" i="1" l="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<sst xmlns="http://schemas.openxmlformats.org/spreadsheetml/2006/main" count="6740" uniqueCount="5811">
  <si>
    <t>Teksbersih</t>
  </si>
  <si>
    <t>translate</t>
  </si>
  <si>
    <t>alun al kahfi malam moga allah rahmat jalan bakri putin terimakasih juni</t>
  </si>
  <si>
    <t>solusi efektif tekan beban uang negara salur subsidi bbm sasar salah mengendalika</t>
  </si>
  <si>
    <t>mari dukung bijak perintah salah kendali salur bbm subsidi tugas solar tali</t>
  </si>
  <si>
    <t>bbm bersubdisi salur solar pertalite atur regulasi atur presiden no</t>
  </si>
  <si>
    <t>muncul tolak</t>
  </si>
  <si>
    <t>yg beli bbm subsidi loh lbh kali blm lg top up lbh sebula</t>
  </si>
  <si>
    <t>pink salah satu yg tolak</t>
  </si>
  <si>
    <t>warga kota yogyakarta keluh bijak perintah wajib beli bahan bakar minyak bbm subsidi</t>
  </si>
  <si>
    <t>bangsa goblox ga maju kl baca berita cm judul marah minyak curah subsidi data pake pl ato ktp</t>
  </si>
  <si>
    <t>salah bentuk usaha mengunpulkan data utk siap ono ya ya</t>
  </si>
  <si>
    <t>lhoh</t>
  </si>
  <si>
    <t>daftar khusus kendara roda sepeda motor</t>
  </si>
  <si>
    <t>laku akses beli bbm pertalite daerah</t>
  </si>
  <si>
    <t>irto laksana daftar susah</t>
  </si>
  <si>
    <t>orang cerdas perang hawa nafsu menang taat tuhan munif chatib</t>
  </si>
  <si>
    <t>daftar beli pertalite buka fakta fakta</t>
  </si>
  <si>
    <t>anggota komisi vii dpr ri paramitha widya kusuma sebut tuju rakyat ribet</t>
  </si>
  <si>
    <t>daftar solar subsidi pertalite roda nih sob udah tau daftar nih mimin kasih daftar website lengkap lengkap video mimin upload</t>
  </si>
  <si>
    <t>yg mereview</t>
  </si>
  <si>
    <t>beli bahan bakar subsidi pertalite solar batas khusus kendara daftar daftar</t>
  </si>
  <si>
    <t>utk temen yg bingung cek faq bawah diupdate kala tau bingung lampir latar program subsidi sasar</t>
  </si>
  <si>
    <t>september batas beli bahan bakar minyak bbm subsidi implementasi pulau jawa jakarta</t>
  </si>
  <si>
    <t>niat ken liat maju petronas mundur nyusahin rakyat spbu ingat gak main hp petronas kagak pake syarat beli bensin rkuhp senjatapembungkam</t>
  </si>
  <si>
    <t>salur sasar</t>
  </si>
  <si>
    <t>sasar</t>
  </si>
  <si>
    <t>biasa janji sertain link reply nder</t>
  </si>
  <si>
    <t>lantar kembang sistem kumparannews</t>
  </si>
  <si>
    <t>juli daftar guna bbm jenis pertalite kendara roda kota ekonomi kompas</t>
  </si>
  <si>
    <t>iriana jokowi simbolis serah bantu manusia obat obat pusat ilmiah bedah endo</t>
  </si>
  <si>
    <t>wanita terkadang lupa betapa harga muhammadiyah taehyung popo lontong instagram jhope more</t>
  </si>
  <si>
    <t>laksana daftar guna bbm subsidi buka juli harap juli tanggal pend</t>
  </si>
  <si>
    <t>pindah shell aja mahal gak pake aplikasi rkuhp senjatapembungkam</t>
  </si>
  <si>
    <t>anggota komisi vii dpr ri paramitha widya kusuma sebut tuju rakyat ribet hak</t>
  </si>
  <si>
    <t>hidup tenteram uang bahagia uang susah</t>
  </si>
  <si>
    <t>mantabbbb bijak koq ngadi ngadi</t>
  </si>
  <si>
    <t>cung guna pertalite juli isi bensin pertalite pake aplikasi pedulilindungi mah</t>
  </si>
  <si>
    <t>percaya tiada musibah uji kekal tiada sedih airmata kekal bakr</t>
  </si>
  <si>
    <t>me lupa hilang redha ikhlas gaess allah kembaliin aja bakri putin terimakasih</t>
  </si>
  <si>
    <t>iman kuat uji berat karna hebat tuhan jaga bakri put</t>
  </si>
  <si>
    <t>umum nih sob tanggal juli daftar kendara beli solar</t>
  </si>
  <si>
    <t>ruwet ga orang kaya sj data yg tdk hak beli pertalite solar jd ga ruwet</t>
  </si>
  <si>
    <t>nek web kudune roda roda ga aplikasi mas</t>
  </si>
  <si>
    <t>breaking news selasa siang sore stlh harga minyak dunia turun juli beli solar pertalite spbu</t>
  </si>
  <si>
    <t>premium nggak hapus distribusi rang pertalite nggak naik klo beli pakai aplika</t>
  </si>
  <si>
    <t>sila liat web</t>
  </si>
  <si>
    <t>hai sobat tezaro sobat maksud beli bbm subsidi roda iya informasi beli bbm solar subsidi pertalite roda bayar cash cashless tunjuk qr code website tks gio</t>
  </si>
  <si>
    <t>hai sobat agum informasi program tuju bbm subsidi salur sesuai kuota tetap sasar daftar via web tks gio</t>
  </si>
  <si>
    <t>tanggal juli daftar website aplikasi tetep aja akses servernya kah kocak bener</t>
  </si>
  <si>
    <t>legislator diam bisu rakyat sengsara rakyatmenderitadprbungkam rakyatmenderitadprbungkam</t>
  </si>
  <si>
    <t>masyarakat masuk golong kaya konsumsi total konsumsi bbm subsidi</t>
  </si>
  <si>
    <t>anggota komisi vi dpr ri fraksi nasdem kakak rudi hartono bangun bijak beli bbm jeni</t>
  </si>
  <si>
    <t>teknologi belenggu negara hadir adil mudah rakyat ju</t>
  </si>
  <si>
    <t>hai sobat beli pertalite subsidi roda bayar cash cashless sesuai moda bayar spbu beli pertalite wajib daftar website kendara roda tks firman</t>
  </si>
  <si>
    <t>guna sistem teknologi it salur bbm</t>
  </si>
  <si>
    <t>gak gitu konsumen isi data kendara kalo kendara daftar hak beli pertal</t>
  </si>
  <si>
    <t>hai sobat rizky informasi beli solar subsidi pertalite khusus roda daftar website tks gio</t>
  </si>
  <si>
    <t>beli bbm subsidi solar pertalite roda bayar cash cashless sesuai moda bayar spbu tunjuk qr code hasil daftar website tks firman</t>
  </si>
  <si>
    <t>please pake otak utuk atur sesuai realita lapang teori</t>
  </si>
  <si>
    <t>daftar beli bbm subsidi laman</t>
  </si>
  <si>
    <t>sobat bantu daftar sobat booth konsultasi</t>
  </si>
  <si>
    <t>muncul pahlawan siang kemeja putih celana hitam sepatu hitam</t>
  </si>
  <si>
    <t>cegah korupsi yg fokus utama utama bumn rezimtakutdi kritik rezimtakutdi krit</t>
  </si>
  <si>
    <t>copotmenteridongok copotmenteridongok</t>
  </si>
  <si>
    <t>akun situs beli pertalite solar</t>
  </si>
  <si>
    <t>elpiji kg kembang sistem laku registrasi terap</t>
  </si>
  <si>
    <t>muncul khawatir ganggu distribusi barang</t>
  </si>
  <si>
    <t>yg subsidi yg qr code hasil verifikasi register nggak qr code ya tolak beli pertalite nih baca ya biar nggak ngelantur</t>
  </si>
  <si>
    <t>jelang laksana uji coba batas beli pertalite solar edar alamat web aplikasi</t>
  </si>
  <si>
    <t>panjang daftar konsumen</t>
  </si>
  <si>
    <t>bisnis news berita logistik transportasi</t>
  </si>
  <si>
    <t>daftar web cm hp kah yg bs udh diblg kali kalo kalo bingung gaptek spbu nya booth ntr bantu</t>
  </si>
  <si>
    <t>mens in corpore sano ganti nama jalan ganti nama rum</t>
  </si>
  <si>
    <t>ahli salah skrg hp canggih aja menggangu sinyal pesawat pengaruh percik aja dispenser masalah</t>
  </si>
  <si>
    <t>tahap daftar fokus cocok data daftar masyarakat dokumen data kendara milik sumber</t>
  </si>
  <si>
    <t>roda roda</t>
  </si>
  <si>
    <t>provinsi lampung laku beli bbm pakai qr code</t>
  </si>
  <si>
    <t>roda ga wajib</t>
  </si>
  <si>
    <t>waah</t>
  </si>
  <si>
    <t>fyi ya guys juli batas bbm subsidi buka daftar utk yg tdk aplikasi daftar daftar qr code khusus yg cetak utk beli bbm</t>
  </si>
  <si>
    <t>uji coba beli pertalite solar subsidi terap besok efektif timbul ruwet pom bensin</t>
  </si>
  <si>
    <t>keren nyusahin</t>
  </si>
  <si>
    <t>daftar ga bgtu kak ya ampun foto bgt bilang ga donlot ga bawa hp sih susah bgt baca sedih</t>
  </si>
  <si>
    <t>pilih daftar or non subsidi guys</t>
  </si>
  <si>
    <t>info nih guys juli batas bbm subsidi buka daftar panik ya</t>
  </si>
  <si>
    <t>iseng tuju salur bbm subsidi orang yamg hak adil distributif sistem paka</t>
  </si>
  <si>
    <t>fyi bestie juli batas bbm subsidi buka daftar jgn panik ya</t>
  </si>
  <si>
    <t>susah gampangin copotmenteridongok copotmenteridongok era jokowi beli migor pakai</t>
  </si>
  <si>
    <t>uji coba adu nyali kota padang kabupaten agam kabupaten tanah datar kota bandung kota sukabumi ko</t>
  </si>
  <si>
    <t>ajar salah perintah keluar jurus baru kendali kons</t>
  </si>
  <si>
    <t>ga dibkin aja atur roda ga beli pertalite lbh simple</t>
  </si>
  <si>
    <t>tolak</t>
  </si>
  <si>
    <t>anggota komisi vi dpr ri fraksi nasdem kakak rudi hartono bangun bijak</t>
  </si>
  <si>
    <t>taufikurachman bayar bbm subsidi transaksi bayar tunai kart</t>
  </si>
  <si>
    <t>imbau masyarakat hak pertalite solar daftar website</t>
  </si>
  <si>
    <t>uji coba provinsi sumatra barat kalimantan selatan sulawesi utara jawa barat daerah</t>
  </si>
  <si>
    <t>guna sepeda motor beli pertalite spbu normal</t>
  </si>
  <si>
    <t>lesat cepat pertamax turbo rasa sensasi akselerasi performa mesin hebat ro</t>
  </si>
  <si>
    <t>beli struk bbm sopir akal usaha cegah transaksi wajib serta kartu rfid headline</t>
  </si>
  <si>
    <t>rakyat sdh derita ribet rakyatmenderitadprbungkam rakyatmenderitadprbungkam</t>
  </si>
  <si>
    <t>menitsmartphone episode ngga ponsel spbu bikin bakar rame nih kare</t>
  </si>
  <si>
    <t>bijak rezim sulit rakyat utk cari nafkah rejeki perintah seh</t>
  </si>
  <si>
    <t>mb roda atur</t>
  </si>
  <si>
    <t>daftar data identitas kendara website buka</t>
  </si>
  <si>
    <t>linknya monggo baca dn ajar</t>
  </si>
  <si>
    <t>hai sobat rhiner informasi pasti milik kendara daftar website konfirmasi hak konsumen terima bbm subsidi qr code sambung</t>
  </si>
  <si>
    <t>daftar kak sumber coba guna roda mobil ponsel pintar</t>
  </si>
  <si>
    <t>bijak salur gas subsidi kg rata</t>
  </si>
  <si>
    <t>ajar salah perintah keluar jurus baru kendali konsumsi bbm bersubsi</t>
  </si>
  <si>
    <t>tata daftar konsumen solar subsidi pertalite roda tanggal juli daftar kendara layan beli solar subsidi pertalite khusus roda website ya</t>
  </si>
  <si>
    <t>direktur eksekutif core indonesia mohammad faisal nilai bijak beli lpg kg aplikasi tida</t>
  </si>
  <si>
    <t>direktur eksekutif core indonesia mohammad faisal nilai bijak beli lpg kg aplikasi turut masyarakat miskin miskin milik smartphone via</t>
  </si>
  <si>
    <t>inisiatif catat oleh data valid salur bbm subsidi sasar</t>
  </si>
  <si>
    <t>spbu sumatera barat lokasi daftar beli bbm pertalite solar masyarakat</t>
  </si>
  <si>
    <t>masyarakat khawatir tahap mudah daftar data konfirmasi terima qr code transaksi jalan</t>
  </si>
  <si>
    <t>masyarakat akses website siap dokumen butuh ktp stnk kendara foto kendara alamat mail dokumen dukung</t>
  </si>
  <si>
    <t>buka website centang informasi paham syarat klik daftar ikut instruksi tunggu cocok data maksimal kerja alamat email yg daftar cek status daftar website kala</t>
  </si>
  <si>
    <t>pikir aja yg ndak beres penuh benci yg larang mel</t>
  </si>
  <si>
    <t>mimin coba jelasin ya yuk simak pertanyaa</t>
  </si>
  <si>
    <t>sob mimin dapet nih solar subsidi pertalite roda kolom komentar</t>
  </si>
  <si>
    <t>atur tarif listrik atur konsumen bbm subsidi sesuai harga energi lonjak kondisi</t>
  </si>
  <si>
    <t>atur tarif listrik atur konsumen bbm subsidi sesuai harga energi lonjak kondisi geopolitik global tempobisnis</t>
  </si>
  <si>
    <t>bijak sesat orang miskin paksa ponsel pintar beli gas lpg kg drpd beli ponsel mendi</t>
  </si>
  <si>
    <t>emang gitu</t>
  </si>
  <si>
    <t>anggota komisi vii dpr sartono hutomo harap masyarakat bijak konsumsi bahan bakar minyak bbm subsidi jenis pertalite solar lpg tempobisnis</t>
  </si>
  <si>
    <t>aja bikin down biar tau</t>
  </si>
  <si>
    <t>uji coba adu nyali kota padang kabupaten agam kabupaten tanah datar kota bandung kota sukabumi kota tasikmalaya kabupaten ciamis kota banjarmasin kota yogyakarta manado moga aman ya</t>
  </si>
  <si>
    <t>fakta nikah jang nara sang suami yakin tampan mantan pacar hadir thedefenders impi time for</t>
  </si>
  <si>
    <t>beli pertalite solar atur masyarakat hak beli bbm subsidi mesti melakuka</t>
  </si>
  <si>
    <t>imbau masyarakat hak pertalite solar daftar website salur bbm subsidi sasar kuota</t>
  </si>
  <si>
    <t>bingung transaksi spbu qr code bbm solar subsidi pertalite roda tunjuk</t>
  </si>
  <si>
    <t>mas pras mhn jelas detail apkh hny utk mobil apkh motor laku jk ya kpn</t>
  </si>
  <si>
    <t>so ayo jadi pertamax turbo bahan bakar andal akselerasi mesin sayang selalujadiandalan pe</t>
  </si>
  <si>
    <t>uji coba aplikasi terap wilayah jawa barat</t>
  </si>
  <si>
    <t>siap dokumen butuh ktp stnk kendara foto kendara alamat email dokumen dukung isi form registrasi</t>
  </si>
  <si>
    <t>ahok gila</t>
  </si>
  <si>
    <t>bijak rezim sulit rakyat utk cari nafkah rejeki perintah</t>
  </si>
  <si>
    <t>nyo rame anjlokin kasih bintang</t>
  </si>
  <si>
    <t>ngga gana tolak maksa beli pertalite applikasi alih pertamax kl yg pilih yg otoritas ambil simpul bbm subsidi sdh tdk butuh</t>
  </si>
  <si>
    <t>dear masuk area spbu mastiin hp mati minimal mode pesawat takut pake</t>
  </si>
  <si>
    <t>besok beli pakai aplikasi yaa</t>
  </si>
  <si>
    <t>yayasan lembaga konsumen indonesia saran perintah guna aplikasi data beli publisherstory bbc news indonesia</t>
  </si>
  <si>
    <t>poin beli bbm tukar jenis reward untung yan</t>
  </si>
  <si>
    <t>jual aplikasi premium netflix spotify disney hotstar viu wetv youtube vidio iqiyi hbo go garansi</t>
  </si>
  <si>
    <t>pake qrcode cetak</t>
  </si>
  <si>
    <t>ujung nye paksa beli pertamax kacau kacau kacaaauuuu</t>
  </si>
  <si>
    <t>semangkin bahagia rkytnya kpn ulang tahun</t>
  </si>
  <si>
    <t>konten tag popo instagram azzam lontong sipalingmarvel copotmenteridongok get wel</t>
  </si>
  <si>
    <t>brarti kalo nya layak minum pertalite akun gak daftar hrs daftar</t>
  </si>
  <si>
    <t>lai mampus kau rakyat mi ski</t>
  </si>
  <si>
    <t>umum nih sob tanggal juli daftar kendara beli solar subsidi pertalite khusus roda ayo daftar ya</t>
  </si>
  <si>
    <t>anggota komisi vi dpr ri rudi hartono bangun bijak sulit masyarakat</t>
  </si>
  <si>
    <t>detikers tuju nggak beli pertalite solar batas yuk pollingnya</t>
  </si>
  <si>
    <t>seleksi subsidi sasar kaya gin</t>
  </si>
  <si>
    <t>sepertix gk lg masuk toilet pake aplikasi</t>
  </si>
  <si>
    <t>untung pake kayu bakar</t>
  </si>
  <si>
    <t>cegah korupsi yg fokus utama utama bumn rezimtakutdi kritik rezimtakutdi kritik</t>
  </si>
  <si>
    <t>pertalite beli lpg kg daftar</t>
  </si>
  <si>
    <t>nyinyir bentar aplikasi bikin ribet beli gas kg</t>
  </si>
  <si>
    <t>gak ribet cobak</t>
  </si>
  <si>
    <t>eh gada kuota isi pertamax</t>
  </si>
  <si>
    <t>perintah rencana ketat beli bbm subsidi jenis pertalite solar kendara roda mobil</t>
  </si>
  <si>
    <t>ya baca berita link bawah larang non aktif hp yg lampang mudah tugas awas aja sulit awas guna bertanggungjawab</t>
  </si>
  <si>
    <t>racun sandal slip on jelly toko oren thread rekomendasishopee racunshopee sandals sandal reply holy</t>
  </si>
  <si>
    <t>gas melon mesti pake aplikasi bayar pake linkaja</t>
  </si>
  <si>
    <t>milik usaha warung makan kota solo aku berat beli gas elpiji ukur kg gas</t>
  </si>
  <si>
    <t>ndang do daftar timbang ra iso tuku pertalite cash tetep sk daftar po nk ra gelem ribet yo tukuo pertamax</t>
  </si>
  <si>
    <t>rakyat yg gantung hidup jual lapak ig fb komunikasi wa</t>
  </si>
  <si>
    <t>monggo baca komen</t>
  </si>
  <si>
    <t>daftar website</t>
  </si>
  <si>
    <t>temen teman utara</t>
  </si>
  <si>
    <t>daerah berani bicara</t>
  </si>
  <si>
    <t>yg jual beli qr code yg daftarin nama qr code kalo kendara pasang chip id stnk ktp dgn chip id</t>
  </si>
  <si>
    <t>ati negara konoha anti kritik ntar masuk penjara heran orang orang kerja</t>
  </si>
  <si>
    <t>perintah sdh smakin paksa hendak rakyat dasar sdh rakyat</t>
  </si>
  <si>
    <t>anggota komisi vi dpr ri rudi hartono bangun bijak sulit masyarakat telepon pintar smartphone rezimtakutdi kritik</t>
  </si>
  <si>
    <t>uji coba kota kabupaten sebar propinsi sumatera barat kalimant</t>
  </si>
  <si>
    <t>isi solar subdisi pertalite sesuai tentu laku laku bayar metode tu</t>
  </si>
  <si>
    <t>teknologi belenggu negara hadir adil mudah rakyat repot era teknologi serba simpel ribet bijak cabut</t>
  </si>
  <si>
    <t>tuju sebar pertalite sesuai konsumen pertalite</t>
  </si>
  <si>
    <t>motor tdk trmsuk bang terang</t>
  </si>
  <si>
    <t>motor tdk trmsuk kaka web subsidi yg wjb dftr kdraan roda no barcode dscan edc spbu trdftr br isi bbmnya spya prktis amp tdk buka hp spbu brcodenya sticker yg mdh dscan tnp bgini aj sdh ngntri aplg pkai bgnian smg kruwtn sgra brllu</t>
  </si>
  <si>
    <t>sambal bikin nafsu makan jamin sambal cumi ikan geprek terlanjursayang idul adha malam po</t>
  </si>
  <si>
    <t>morning gaes motor viar roda new karya bit support bisnis merah on the road jawa onepiece san</t>
  </si>
  <si>
    <t>malam eh pagi fyi sandal declan slide kulit utk pria empuk soft nyaman pakai modern stylish lapis kar</t>
  </si>
  <si>
    <t>luhut laknatulloh rezim laknatulloh migor ama bbm urus si luhut bknnya beres ribet tag</t>
  </si>
  <si>
    <t>beli migor pake nik beli bensin pake aplikasi masuk mall pake pedulipejabatzalim maju ribet rezimtakutdi kritik rezimtakutdi kritik</t>
  </si>
  <si>
    <t>rating turun tp sebar serah ahoax</t>
  </si>
  <si>
    <t>serah ahok</t>
  </si>
  <si>
    <t>baca ya drun biar tau alas untung nya biar wawas elu gak sempit kayak otak elu</t>
  </si>
  <si>
    <t>bikin ribet bikin langka tiga hilang kyk premium emang biadab ngurus rakyat</t>
  </si>
  <si>
    <t>perintah gagal atur konsumen bbm subsidi jenis pertalite solar shg fakta bnyk kendara mewah pakai</t>
  </si>
  <si>
    <t>uji coba beli bahan bakar minyak bbm subsidi daftar website</t>
  </si>
  <si>
    <t>beli bbm subsidi jenis pertalite solar ketat kendara beli jenis bbm terseb</t>
  </si>
  <si>
    <t>beli bahan bakar minyak bbm subsidi solar pertalite batas beli daftar</t>
  </si>
  <si>
    <t>amat telekomunikasi institut teknologi bandung ridwan efendi nilai radiasi timbul hp</t>
  </si>
  <si>
    <t>juli beli pertalite solar batas konsumen beli pertalite solar diw</t>
  </si>
  <si>
    <t>gw dukung inovasi distribusi energi amp sasar lanjut beli pertalite amp solar</t>
  </si>
  <si>
    <t>bijak timbul aman guna hp area spbu spbu tera larang guna po</t>
  </si>
  <si>
    <t>daftar siap dokumen ktp stnk foto kendara dokumen dukung buka aplikasi websi</t>
  </si>
  <si>
    <t>warganet aku berat beli bensin jenis pertalite solar subsidi gas elpiji ukur kg</t>
  </si>
  <si>
    <t>breaking news juli esok beli bensin jenis pertalite solar subsidi resmi bayar le</t>
  </si>
  <si>
    <t>susah kerja mu</t>
  </si>
  <si>
    <t>warga tengah banyak hp kentang internet numpang wifi perintah bikin registra</t>
  </si>
  <si>
    <t>netizen indo posesif gilir performa bagus auto ngehujat kayak pacar ngajak holywings mau dibayarin</t>
  </si>
  <si>
    <t>bohong main hp pom bensin dewan</t>
  </si>
  <si>
    <t>spbu bandung kl antri sengaja layanin pompa tugas biar pindah isi pertamax kalo</t>
  </si>
  <si>
    <t>korban bakar korban jiwa main hp spbu yg tanggung</t>
  </si>
  <si>
    <t>otak sungsang drunn</t>
  </si>
  <si>
    <t>otak sungsang</t>
  </si>
  <si>
    <t>menteri bumn maskapai terbang pelita air layan tumpang milenial anak usaha pert</t>
  </si>
  <si>
    <t>menteri bumn erick thohir maskapai terbang pelita air layan tumpang milenial anak usaha tam</t>
  </si>
  <si>
    <t>gening bogor oge euy yg kayak gin</t>
  </si>
  <si>
    <t>oh anti ya</t>
  </si>
  <si>
    <t>aplikasi laris manis</t>
  </si>
  <si>
    <t>coba jeli selang ngisi buka dalih pindah pertamax gak sembarang kendara campur bahan bakar kalo ganti kuras abis pengaruh bakar mesin</t>
  </si>
  <si>
    <t>larang pipis dpn tugas</t>
  </si>
  <si>
    <t>bagus ada bantu</t>
  </si>
  <si>
    <t>cc</t>
  </si>
  <si>
    <t>nuwun sewu amp bahaya nyala hp spbu klw bakar gim bnyk resiko nya amp driver ojol saldo top up link nya mohon tinjau bijak nya</t>
  </si>
  <si>
    <t>hahaha iya ngeuh</t>
  </si>
  <si>
    <t>beli bbm mesti pakai aplikasi beli minyak goreng mesti pakai peduli lindung pikir pikir rakyat indonesia pribumi serasa tamu negeri</t>
  </si>
  <si>
    <t>bingung aktifin hape trus spbu nya meledsk gimana</t>
  </si>
  <si>
    <t>lucu</t>
  </si>
  <si>
    <t>ituh</t>
  </si>
  <si>
    <t>otak bodoh atur bodoh</t>
  </si>
  <si>
    <t>bayar paka link beli ribu biaya link mobil klai juta mobil</t>
  </si>
  <si>
    <t>guna larang skrg isi bbm aja buka aplikasi hp daerah</t>
  </si>
  <si>
    <t>nyang bikin atur otaknyah bikin bingung</t>
  </si>
  <si>
    <t>sakit jiwa lembaga ya enggak tpi yg ngurusnya org untung rugi gila khan</t>
  </si>
  <si>
    <t>atur yg bingung</t>
  </si>
  <si>
    <t>woi gitu oprator spbu ku gak mati tolong atur hilang ku ken umur</t>
  </si>
  <si>
    <t>wakakakakkkk bener tuh</t>
  </si>
  <si>
    <t>asli logika dasar bgt ya ga mikir kelennnn cc menteri jg naung deh presiden</t>
  </si>
  <si>
    <t>negeri isi orang pintar mau ketawa aja ya ha ha ha cuan bikin orang pintar beleng beleng ha ha ha</t>
  </si>
  <si>
    <t>mana kelen bikin atur kalo beli bbm pake aplikasi udah gak kelen pikir bahaya beli tugas spbu henpon aneh aja kelen</t>
  </si>
  <si>
    <t>woww keren tukang blokir sih</t>
  </si>
  <si>
    <t>berita yg edar beli salah bbm pakai aplikasi gak main handphone gimana</t>
  </si>
  <si>
    <t>mudah wajib follow instagram twitter facebook tiktok tulis jaw</t>
  </si>
  <si>
    <t>ribet lo</t>
  </si>
  <si>
    <t>analisa yg cerdas bohong publik</t>
  </si>
  <si>
    <t>kalo main hp emang gak</t>
  </si>
  <si>
    <t>tunggu nyinyir mbah btw jokowi lawat eropa</t>
  </si>
  <si>
    <t>ribet banget emg appnya kalo emang ngetrack distribusi minyak ya aplikasi mah</t>
  </si>
  <si>
    <t>wkwk ajg bener yg gbr hapenya esia hidayah kali ya</t>
  </si>
  <si>
    <t>self service lip service</t>
  </si>
  <si>
    <t>untung lo warga negara singapore mat sana tuntut mikir logis maksud atur lo jg warga negera arab udah penggal lo kebaya nyinyir perintah</t>
  </si>
  <si>
    <t>tugas komisaris utama salah satu awas jalan giat usaha periksa giat</t>
  </si>
  <si>
    <t>gak nyiyirin jokowi ukraina rusia</t>
  </si>
  <si>
    <t>buzzer terna pd komen good job</t>
  </si>
  <si>
    <t>nerapin beli pertalite pake aplikasi ga iklan layan masyarakat yg ngasih tau</t>
  </si>
  <si>
    <t>sih bandung ditangerang</t>
  </si>
  <si>
    <t>gin biar aplikasi laku bakar duit nih ye cerita</t>
  </si>
  <si>
    <t>bener mak</t>
  </si>
  <si>
    <t>gajelas bijak juatru yg masyarakat singkir ga smartphone</t>
  </si>
  <si>
    <t>bijak yg susah rakyat indonesia hy jawa bal gana yg daerah pencil ga pake aplikasi aja ribet ribut</t>
  </si>
  <si>
    <t>mikir mau tuh</t>
  </si>
  <si>
    <t>ngajak gelud eta mah</t>
  </si>
  <si>
    <t>beli migor pake beli pertalite pake rakyat jelata ribet</t>
  </si>
  <si>
    <t>indonesia negeri susah orang susah susah perintah perintah bijak rakyat adaptasi perintah yg adaptasi</t>
  </si>
  <si>
    <t>coba bijak yg logis orang gagap teknologi beli bbm subsidi susah ujung nya manfaat oknum orang cari untung coba evaluasi org yg tau instal aplikasi org yg beli gadget</t>
  </si>
  <si>
    <t>nitip puang orang negri ngisi bbm isi pakai aplikasi ribet idup</t>
  </si>
  <si>
    <t>tutup goblok</t>
  </si>
  <si>
    <t>bahaya yaa hp keluar baru udah jaring yg signalnya bahaya</t>
  </si>
  <si>
    <t>tuju pa didu ga main hp spbu ko ambyar man</t>
  </si>
  <si>
    <t>larang hp spbu gaya gaya biar keren ya</t>
  </si>
  <si>
    <t>gak didu mundur lha mundur mana ya gak</t>
  </si>
  <si>
    <t>gak mikirin apaaa orang yg gaptek gak punyaa hape bagus</t>
  </si>
  <si>
    <t>kl kontrol yg mobil pribadi yg beli nikmat subsidi wk wk wk wk</t>
  </si>
  <si>
    <t>salah luhut kumpul big data juta plus panjang pimpin</t>
  </si>
  <si>
    <t>oh sorry solusi ga smartphone daftar website qr code khusus moga gak salah tanggap ya</t>
  </si>
  <si>
    <t>alam pakak loading bayar orang udah antri spbu yg tolak alas alat rusak sinyal jelek applikasi pompa yg ambyaaarrr</t>
  </si>
  <si>
    <t>matakna mak</t>
  </si>
  <si>
    <t>pimpin tai yaa tai gw bilang tai yaaa kalo kotor nama yaa tai</t>
  </si>
  <si>
    <t>didu udah mundur aneka posisi mundur mana merpati udah gak</t>
  </si>
  <si>
    <t>bijak yg bijak bahaya selamat areal pom bensin</t>
  </si>
  <si>
    <t>sih kritisi carut marut spbu blok sam</t>
  </si>
  <si>
    <t>main hp ya gpp hp nya banting puter yg larang aktif hp bkn main hp</t>
  </si>
  <si>
    <t>bijak yg bijak bahaya selamat areal pom bensin larang nyala hp areal pom bensin</t>
  </si>
  <si>
    <t>kalo beli minyak goreng pake peduli lindung beli pertalite gak pake biar gak banyak aplikasi kasihan hpnya udah penuh memory nya</t>
  </si>
  <si>
    <t>lieur ah</t>
  </si>
  <si>
    <t>we are bening watched</t>
  </si>
  <si>
    <t>larang keras utk hidup smartphone kawasan spbu mana nyari opsi pajak kendar</t>
  </si>
  <si>
    <t>minum bbm subsidi mesti pake aplikasi wajar sasar yg subsidi golong sultan</t>
  </si>
  <si>
    <t>biosolar rp pertalite rp atur spedamotor</t>
  </si>
  <si>
    <t>skeptis pelototin perdana menteri paling kicep</t>
  </si>
  <si>
    <t>kalaubisadipersulit kenapaharusdipermudah</t>
  </si>
  <si>
    <t>tl ambya indonesia pulau jawa</t>
  </si>
  <si>
    <t>rokok boleh</t>
  </si>
  <si>
    <t>liat logo kak tau logo ga pakek hand phone keypad nya kalo udah full layar sentuh kayak</t>
  </si>
  <si>
    <t>mesti kali dm twitter ap slah nya jelasin langsung bkan ap kyak mn nasib wrga yg beli bbm kgak pnya hp orang tua yg kgak ngerti main hp smakin lucu aj atur nya bosss</t>
  </si>
  <si>
    <t>klo gitu nyala rokok api ya</t>
  </si>
  <si>
    <t>balaikota padang android bli pertalite mah</t>
  </si>
  <si>
    <t>akibat kardus yg gembok smua jd gila atur ug kgak msuk akal</t>
  </si>
  <si>
    <t>solar premium bengsin ari na naon uyuh sia mah daek dibo</t>
  </si>
  <si>
    <t>spbu bandung panjang ya</t>
  </si>
  <si>
    <t>hahahaha lucu buangeettt hayoo jawabbb</t>
  </si>
  <si>
    <t>stuck aja nih</t>
  </si>
  <si>
    <t>data gak laku</t>
  </si>
  <si>
    <t>jual paksin ya why not jual paksin plorotin pertalite pelan abis dr minat masyarakat</t>
  </si>
  <si>
    <t>pesawat jga nyala hp sedia wifi khusus bohong</t>
  </si>
  <si>
    <t>taik taik</t>
  </si>
  <si>
    <t>yg ribut melototin migor</t>
  </si>
  <si>
    <t>goblok klo atur</t>
  </si>
  <si>
    <t>bayar bom pake emoney udah aneh suruh beli aplikasi bener aja ajg</t>
  </si>
  <si>
    <t>welcome to wakanda land</t>
  </si>
  <si>
    <t>proses tahap propinsi propinsi yg pilih sukses yaa</t>
  </si>
  <si>
    <t>tahap uji coba gaes uji coba yuk sukses dgn daftarin kendara</t>
  </si>
  <si>
    <t>kalo gak hp teriak tai tai gak</t>
  </si>
  <si>
    <t>meeting task force esc indonesia hasil rancang bijak transisi energi dunia</t>
  </si>
  <si>
    <t>pertagas group boyong enam harga ajang csr bangun desa lanjut awards</t>
  </si>
  <si>
    <t>nyari tambah nutupin rugi aplikasi top banget deh ide nye nyusahin orang</t>
  </si>
  <si>
    <t>negara yo ngene banget rakyate sengaja bikin susah jgn dah males rakyat biar jahat negara bebas</t>
  </si>
  <si>
    <t>pras kalo data beli bbm subsidi sasar cepat praktis layan spbu ktp chip layan gerai telkomsel</t>
  </si>
  <si>
    <t>yup info bagus nih terimakasih min</t>
  </si>
  <si>
    <t>yuk daftar kendara tanggal juli layan beli solar subsidi</t>
  </si>
  <si>
    <t>maju orang indonesia beli barang butuh utama pakai aplikasi minyak goreng pakai pe</t>
  </si>
  <si>
    <t>oi</t>
  </si>
  <si>
    <t>ribet mudah daftar kendara</t>
  </si>
  <si>
    <t>filter otimatis mari sukses</t>
  </si>
  <si>
    <t>bawa tower sndiri bang</t>
  </si>
  <si>
    <t>ya masyarakat bbm subsidi yg hak atur yg laku</t>
  </si>
  <si>
    <t>tiati ntar kena etle spbu lho jebak</t>
  </si>
  <si>
    <t>juli uji coba guest</t>
  </si>
  <si>
    <t>wooooii juancoookkkk ntr mobil motor nya letup tanggung gak bangke bangke bikin atur mudah repot</t>
  </si>
  <si>
    <t>kalo wakil rakyat diam gw sumpahin mandul</t>
  </si>
  <si>
    <t>gas daftar kendara</t>
  </si>
  <si>
    <t>mas tri peluang emas transformasi energi tambang green energy dgn ino</t>
  </si>
  <si>
    <t>ayo kawan yg asal propinsi sukses uji coba</t>
  </si>
  <si>
    <t>seriously</t>
  </si>
  <si>
    <t>tata daftar juli ya</t>
  </si>
  <si>
    <t>juli guest ya</t>
  </si>
  <si>
    <t>klo spbu yg mleduk pura bego</t>
  </si>
  <si>
    <t>baca baca baca baca</t>
  </si>
  <si>
    <t>gak</t>
  </si>
  <si>
    <t>mari daftar kendara nikmat subsidi</t>
  </si>
  <si>
    <t>wakil rakyat custumer pertalite cari panggung luap sakit hati akut</t>
  </si>
  <si>
    <t>yg masmen bumn utk green energy dgn kerjasama persero energy saver li</t>
  </si>
  <si>
    <t>guna larang skrg isi bbm aja buka aplikasi hp daerah luar jangkau sinyal seluler kaji gak sih benga aja perhati</t>
  </si>
  <si>
    <t>ribet banget ya</t>
  </si>
  <si>
    <t>prestasi yg indonesia bangga</t>
  </si>
  <si>
    <t>tinggal nih</t>
  </si>
  <si>
    <t>spbu larang main hp</t>
  </si>
  <si>
    <t>ayok mari sukses uji coba</t>
  </si>
  <si>
    <t>mesti nih tinggal wilayah nya</t>
  </si>
  <si>
    <t>sadar ya lae udah bohong</t>
  </si>
  <si>
    <t>sistem moga salur bbm subsidi sasar</t>
  </si>
  <si>
    <t>paham nih bantu info</t>
  </si>
  <si>
    <t>kota ujicoba pake aplikasi</t>
  </si>
  <si>
    <t>bikin susah rakyat</t>
  </si>
  <si>
    <t>klo jubir nya ahok ato erick tohir</t>
  </si>
  <si>
    <t>haduh klu promosi sosialisasi pakai bahasa indonesia wae</t>
  </si>
  <si>
    <t>blunder mulu junjung</t>
  </si>
  <si>
    <t>cepat wujud ekosistem kendara listrik indonesia kolaborasi termasu</t>
  </si>
  <si>
    <t>hai sobat terima kasih ya dukung sepenuh hati selamat pagi sukses atria</t>
  </si>
  <si>
    <t>terima kasih sobat apresiasi dukung jaga sehat semangat gapai sukses ya sobat atria</t>
  </si>
  <si>
    <t>terima kasih dukung apresiasi sobat selamat pagi jaga sehat ya sob atria</t>
  </si>
  <si>
    <t>sukses sobat terima kasih dukung atria</t>
  </si>
  <si>
    <t>moga sukses sesuai target nya</t>
  </si>
  <si>
    <t>hai sobat terima kasih dukung sukses ya sob atria</t>
  </si>
  <si>
    <t>perintah wakanda kalo bikin atur emang rakyat melek teknologi smartphone</t>
  </si>
  <si>
    <t>gambar hp yg spbu larang hp pake keypad</t>
  </si>
  <si>
    <t>nih udah deket</t>
  </si>
  <si>
    <t>yup siap juli lo provinsi tetap</t>
  </si>
  <si>
    <t>pegawai jg maenin hape</t>
  </si>
  <si>
    <t>alhamdulillah maju umkm</t>
  </si>
  <si>
    <t>maha atuh</t>
  </si>
  <si>
    <t>atur sampah</t>
  </si>
  <si>
    <t>pertalite bbm subsidi</t>
  </si>
  <si>
    <t>klo awas pasang cctv spbu jgn sok pake aplikasi yg ga aplicable negri jenis kendara brp cc yg bs ga bs pake pertalite aja blm tentu sdh koar sok keren pk alikasi sgla</t>
  </si>
  <si>
    <t>pantesan mabok konsumsi pertalite ama solar deng</t>
  </si>
  <si>
    <t>bener kali ana tuju dg antum pendekar</t>
  </si>
  <si>
    <t>halo tim pikir jadi jadi yg harap atur sdh pnya mitigasi risiko</t>
  </si>
  <si>
    <t>ya broooooooo</t>
  </si>
  <si>
    <t>depan tdk hindar sistem digital yg kembang sosialisasi masyarakat</t>
  </si>
  <si>
    <t>layan baik masyarakat</t>
  </si>
  <si>
    <t>negara tdk urus negara mundur mundur negara tong narasi belepotan tong ngopi tong</t>
  </si>
  <si>
    <t>kyai inus ya</t>
  </si>
  <si>
    <t>data dikumpulin nihhh titik titik</t>
  </si>
  <si>
    <t>mafia yg garuda triliun blm yg merpati dll mafia jaman kebo sadis</t>
  </si>
  <si>
    <t>yuk simak bareng biar paham</t>
  </si>
  <si>
    <t>mohon syarat rakyat yg hak beli bbm subsidi mekanisme beli bbm bersu</t>
  </si>
  <si>
    <t>perintah kesini kesana heh gw ngisi bensin mobil plat merah isi pertalite asyuuuuuu</t>
  </si>
  <si>
    <t>moga sasar salur bbm subsidi</t>
  </si>
  <si>
    <t>provinsi tetap juli</t>
  </si>
  <si>
    <t>yg premium ulang anggap rakyat bodoh</t>
  </si>
  <si>
    <t>paham nih min thanks ya</t>
  </si>
  <si>
    <t>kerja ahok ahok main dalam khan gub dki</t>
  </si>
  <si>
    <t>starting july people in bandung yogyakarta manado banjarmasin and other cities and regencies have to register thems</t>
  </si>
  <si>
    <t>yg mumet karyawan spbu nya auto jd mata elang nyocokin plat nomor</t>
  </si>
  <si>
    <t>info bagus nih min terimakasih</t>
  </si>
  <si>
    <t>moga lancar ujicobanya depan</t>
  </si>
  <si>
    <t>nya bilang lokasi guna untuk sesuai hahaha</t>
  </si>
  <si>
    <t>rakyat indonesia pake hp data dll lbh hebat maye tongenni rakyat eeehh mate baleee</t>
  </si>
  <si>
    <t>ruwet</t>
  </si>
  <si>
    <t>bijak kontra nalar</t>
  </si>
  <si>
    <t>regulator negara nggak atur undang undang peras sulit rakyat nggak payung hukum</t>
  </si>
  <si>
    <t>ijin tag</t>
  </si>
  <si>
    <t>juli nih ya</t>
  </si>
  <si>
    <t>ijin tag ijin tag</t>
  </si>
  <si>
    <t>simak nih guest tata daftar konsumen bbm subsidi</t>
  </si>
  <si>
    <t>rakyat nya mudah atur susah</t>
  </si>
  <si>
    <t>dah pasang aplikasi pas isi bensin spbu nya gak bayar pake aplikasi hapus deh karna semak aplikasi hp</t>
  </si>
  <si>
    <t>serius nanya negara negara maju warga beli bbm pake aplikasi</t>
  </si>
  <si>
    <t>custumer pertalite</t>
  </si>
  <si>
    <t>kerugisn total tahun rp knp yg usut cm</t>
  </si>
  <si>
    <t>halo</t>
  </si>
  <si>
    <t>pimpin tai yaa tai gw bilang tai yaaa kalo kotor nama yaa tai woii koruptor kalo ga wakilin suara rakyat mending mundur drpd rakyat turun hakim</t>
  </si>
  <si>
    <t>beli bensin jatah</t>
  </si>
  <si>
    <t>terobos bagus awas subsidi sasar lanjut tingkat subsid</t>
  </si>
  <si>
    <t>kek amp</t>
  </si>
  <si>
    <t>uji coba sebentar download aplikasi</t>
  </si>
  <si>
    <t>daerah</t>
  </si>
  <si>
    <t>mental kanya negara korupsi</t>
  </si>
  <si>
    <t>yuk gas download buru daftar</t>
  </si>
  <si>
    <t>pakai aplikasi susah masyarakat potensi bakar spbu rubah bijak tsb mjd wajib spbu koneksi laptop netbook yg hubung server utk input nomor polisi kendara isi pertalite solar</t>
  </si>
  <si>
    <t>strategi ahox</t>
  </si>
  <si>
    <t>koq smenjak komut mantan napi susah rakyat</t>
  </si>
  <si>
    <t>hahaha bentar gambar hapus ma yg tuh</t>
  </si>
  <si>
    <t>kr sana ahok anak tuhan menteri ga berani buka regulasi</t>
  </si>
  <si>
    <t>good job</t>
  </si>
  <si>
    <t>daerah pariwisata super prioritas dpsp borobudur istimewa laku industri hotel</t>
  </si>
  <si>
    <t>upaya perintah bbm subsidi sasar said didu niat cm bikin rame aja utk muas hasrat nyinyir</t>
  </si>
  <si>
    <t>nih</t>
  </si>
  <si>
    <t>login</t>
  </si>
  <si>
    <t>guna atur woeee</t>
  </si>
  <si>
    <t>sosialisasi atur yg jelas masyarakat atur gembar gembor laku biasa pelihara</t>
  </si>
  <si>
    <t>isi sndiri tar kyk diwarteg makan bakwan bilang ja</t>
  </si>
  <si>
    <t>bgitulah roowednesia harap mklum yes kgk lengserin ja ganti rejim</t>
  </si>
  <si>
    <t>bangga dgn bintang mesin atm hasil jual aset negara ahlak mulia smoga</t>
  </si>
  <si>
    <t>bayar paka link beli ribu biaya link mobil klai juta mobil milyar link dpt uang dr hasil rampok uang rakyat milik link lippo grup singgapure jd yg bodoh goblok suruh james ready</t>
  </si>
  <si>
    <t>biar terobos si capres</t>
  </si>
  <si>
    <t>negara penuh atur jlimeettt</t>
  </si>
  <si>
    <t>yuk tinggal sana</t>
  </si>
  <si>
    <t>scan qr nya selesai isi mesin pompa henti</t>
  </si>
  <si>
    <t>negara urus negara mundur aja gak sih</t>
  </si>
  <si>
    <t>rezim bobrok brengsek pakai atur yg sesuai mau sesuai atur yg jalanin sulit rakyat tindas rakyat</t>
  </si>
  <si>
    <t>atur sampah kau</t>
  </si>
  <si>
    <t>atur yg keliru larang pake hp lokasi spbu beli pertalite hrs pake aplikasi ambyaar dech</t>
  </si>
  <si>
    <t>bikin ribet rakyat aja kontol</t>
  </si>
  <si>
    <t>sih pola batal beliau</t>
  </si>
  <si>
    <t>nitip puang orang negri ngisi bbm isi pakai aplikasi ribet idup lu tong</t>
  </si>
  <si>
    <t>erick thohir kerah bumn bangun pabrik baterai mobil listrik raksasa tiga bumn tsb adlh pt pln pt inalum</t>
  </si>
  <si>
    <t>orang negri ngisi bbm isi pakai aplikasi</t>
  </si>
  <si>
    <t>main hp spbu larang isi bahan bakar bayar hp tolong</t>
  </si>
  <si>
    <t>saran utk tiada pertalite mobil pribadi motor atas cc gak bikin ribet kalang motor yg pinggir dlm hak jalan raya rutin bayar pajak</t>
  </si>
  <si>
    <t>lagipula konsumsi bbm full tank mobil dgn motor cc aja udah</t>
  </si>
  <si>
    <t>lagipula konsumsi bbm full tank mobil dgn motor cc aja udah bijak utk motor bawah cc otomatis dpt pertalite</t>
  </si>
  <si>
    <t>spbu ledak akibat guna hp yg tanggung cc</t>
  </si>
  <si>
    <t>perintah terima subsidi bbm teknologi karna masyarakat indonesia pelosok desa mengunakan hp android mohon timbang</t>
  </si>
  <si>
    <t>hayoloh gimana</t>
  </si>
  <si>
    <t>the volume of the spilled oil is estimated to be around liters</t>
  </si>
  <si>
    <t>main hp spbu sgt bahaya bang sy ex operator salah spbu pontianak</t>
  </si>
  <si>
    <t>unt mobil alhamdulillah rakyat mobil</t>
  </si>
  <si>
    <t>hormat laku kaga pantes pis harga kucluk</t>
  </si>
  <si>
    <t>rudet sia</t>
  </si>
  <si>
    <t>konsumen solar subsidi pertalite daftar nih</t>
  </si>
  <si>
    <t>daftar mudah masyarakat sulit</t>
  </si>
  <si>
    <t>or ga jenis bbm kendara sesuai kompresi rasio mesin</t>
  </si>
  <si>
    <t>harap depan moga jadi</t>
  </si>
  <si>
    <t>terimakasih bekerjasama aman bbm subsidi</t>
  </si>
  <si>
    <t>bising kali kelen udah darurat gabut atur</t>
  </si>
  <si>
    <t>lucu ya</t>
  </si>
  <si>
    <t>masyarakat paham</t>
  </si>
  <si>
    <t>cc pom bensin pake hp kelen bikin larang keq</t>
  </si>
  <si>
    <t>cc pom bensin pake hp kelen bikin larang keq aja kelen suruh ngerokok pom bensin kalo gitu aneh aja kelen ribet aja kelen</t>
  </si>
  <si>
    <t>ngomongin perintah ya kiai beli minyak goreng pakai peduli lindung beli pertalite</t>
  </si>
  <si>
    <t>jajar ribet pnyalah guna distribusi bbm tangkap adil jahat</t>
  </si>
  <si>
    <t>ya elah ngebug aja langsung bacot engga jls sinyal lu yg buruk aplikasi akses tinggal log out masuk aplikasi gampang gk bikin ribet deh</t>
  </si>
  <si>
    <t>terobos aneh</t>
  </si>
  <si>
    <t>penyalahgunaan subsidi bbm banding penyalahgunaan yg laut</t>
  </si>
  <si>
    <t>kalo bbm subsidi sasar langka</t>
  </si>
  <si>
    <t>bagus sih moga hasil lancar</t>
  </si>
  <si>
    <t>mumet</t>
  </si>
  <si>
    <t>jalur si subsidi masyarakat</t>
  </si>
  <si>
    <t>halo silah bijak beli pakai aplikasi proyek contoh nya provinsi kek kota kek spbu kek sifat nya gedabak gedubuk nasional proyek contoh kaji nya</t>
  </si>
  <si>
    <t>moga jalan baik awas bbm subsidi disalahgunakan</t>
  </si>
  <si>
    <t>tuju subsidi arah sasar</t>
  </si>
  <si>
    <t>dukung apa kebijakannnya baik masyarakat</t>
  </si>
  <si>
    <t>keren nih kerja bisnis sanagat</t>
  </si>
  <si>
    <t>sukses petamina indonesia</t>
  </si>
  <si>
    <t>data langsung nih bel identifikasi masuk kriteria</t>
  </si>
  <si>
    <t>guna pertalite solar data</t>
  </si>
  <si>
    <t>lbh ga supsidi dri ribet mah</t>
  </si>
  <si>
    <t>bayar aplikasi digital telepon selular</t>
  </si>
  <si>
    <t>laku bbrp terap https</t>
  </si>
  <si>
    <t>jajar ribet pnyalah guna distribusi bbm tangkap adil jahat yg libat mlh mmbuat solusi rakyat yg ribet</t>
  </si>
  <si>
    <t>moga masyarakat paham tertib beli bbm</t>
  </si>
  <si>
    <t>kalo arah aman pasti</t>
  </si>
  <si>
    <t>penguna bio solar mengunakan sistim biar mobil isi berul</t>
  </si>
  <si>
    <t>masyarakat daftar nih</t>
  </si>
  <si>
    <t>tata daftar mudah</t>
  </si>
  <si>
    <t>koordinasi</t>
  </si>
  <si>
    <t>daftar juli tata</t>
  </si>
  <si>
    <t>tanggap</t>
  </si>
  <si>
    <t>info bagus nih masyarakat daftar konsumen solar pertalite</t>
  </si>
  <si>
    <t>beuh bener banget</t>
  </si>
  <si>
    <t>yes kak</t>
  </si>
  <si>
    <t>nemu pertalite kaya nemu harta karun kadang kadang abis</t>
  </si>
  <si>
    <t>jangak bandung dijakarta yakan https</t>
  </si>
  <si>
    <t>hobi pancing gaada ya yg pancing ribut</t>
  </si>
  <si>
    <t>tangerang gin udah bulan yg rabu kemarin isi ud</t>
  </si>
  <si>
    <t>bukti selang bikin motor baris gua bagi antri</t>
  </si>
  <si>
    <t>teu beurang teu sore teu peuting hatur nuhun antriana</t>
  </si>
  <si>
    <t>moga susul teman kader partai demokrat lai</t>
  </si>
  <si>
    <t>top</t>
  </si>
  <si>
    <t>ketua yth folback akun receh ni alhamdulillah</t>
  </si>
  <si>
    <t>nya larang larang nya seribet kah indonesia beli bbm yg model kategori negara maju negara mundur iya</t>
  </si>
  <si>
    <t>monitor</t>
  </si>
  <si>
    <t>pasca ogah suara carut marut</t>
  </si>
  <si>
    <t>download nggak pakai ambyarr dehh</t>
  </si>
  <si>
    <t>sih kritisi carut marut spbu blok buka telp subsidi beli bbm pakai aplikasi</t>
  </si>
  <si>
    <t>main hp spbu sgt bahaya bang sy ex operator salah spbu pontianak spbu tmpt sy kerja ledak investigasi sebab nya tdk tp dgr info yg edar karna radiasi dr hp</t>
  </si>
  <si>
    <t>iya aneh</t>
  </si>
  <si>
    <t>ribet</t>
  </si>
  <si>
    <t>moga suara bijak aneh aamiin</t>
  </si>
  <si>
    <t>bikin susah</t>
  </si>
  <si>
    <t>cek masuk spbu</t>
  </si>
  <si>
    <t>mikirlahdikit</t>
  </si>
  <si>
    <t>nahhh</t>
  </si>
  <si>
    <t>bohong main hp pom bensin dewan monitor</t>
  </si>
  <si>
    <t>dapet sms kayak gin modus tipu makas</t>
  </si>
  <si>
    <t>iya reng euyy mh urng dk ngisi bensin bari udud soalna make hp ge bae</t>
  </si>
  <si>
    <t>woii</t>
  </si>
  <si>
    <t>goblok</t>
  </si>
  <si>
    <t>ga bandung doang spbu jkt jg rasa nyusahin rakyat knp bikin gampang</t>
  </si>
  <si>
    <t>oh main handphone pom bensin moga nggak jadi boom pas ngisi bbm beli minyak goreng curah</t>
  </si>
  <si>
    <t>halooo ulas guna playstore nih coba baik cepat tgl uji coba beli pertalite pk apps</t>
  </si>
  <si>
    <t>dear tolong kembali premium gpp wes ron yg keluar gak bengkak atur pr</t>
  </si>
  <si>
    <t>kalo antri solar smp bayang gak distribusi bahan pangan yg dibutuhin masy</t>
  </si>
  <si>
    <t>dear tolong kembali premium gpp wes ron yg keluar gak bengkak atur premium wajib utk roda angkut jalan pertalite aja gpp bawah pertamax ga pake aplikasi aneh ttd salesman keliling</t>
  </si>
  <si>
    <t>beli bengsin doang make aplikasi pan ek ang mah jiang</t>
  </si>
  <si>
    <t>ngusung gabah gae pertamax turbo wae</t>
  </si>
  <si>
    <t>pakai hari liter gak kuat peka pertamax buk</t>
  </si>
  <si>
    <t>suruh</t>
  </si>
  <si>
    <t>baca nih biar sadar</t>
  </si>
  <si>
    <t>trs poin bs tukar cangkir tukar payung</t>
  </si>
  <si>
    <t>saing pertamini tetep rugi</t>
  </si>
  <si>
    <t>layak ganti ahok erick thohir kasih gitu</t>
  </si>
  <si>
    <t>moga sukses ya</t>
  </si>
  <si>
    <t>mohon bantu info cc</t>
  </si>
  <si>
    <t>mundurin aja tuman kasih hati jantung</t>
  </si>
  <si>
    <t>maju umkm</t>
  </si>
  <si>
    <t>tepat canggih si upaya yg jaga komitmen salur bbm subsidi tep</t>
  </si>
  <si>
    <t>have advice the first one cc please stop this plan didn know what things behind this plan but the future already scares me the second one is collect your cash big enough to face another era of high inflation</t>
  </si>
  <si>
    <t>solar premium bengsin ari na naon uyuh sia mah daek dibobodo</t>
  </si>
  <si>
    <t>orang laper dah pegang blom tau rakyat nkri harga diskon kalo laper galak kenyang bego</t>
  </si>
  <si>
    <t>spbu dkt rs rajawali ngantri aya siloreng maksa meuli pertalite na antri mobil nu kosong</t>
  </si>
  <si>
    <t>mrk sih ga nyadar smua dah pegang</t>
  </si>
  <si>
    <t>jokowi</t>
  </si>
  <si>
    <t>krisis pangan minimal harga lonjak perintah skrg ken ngerasain jd lauk rakyat kali yah</t>
  </si>
  <si>
    <t>terima kasih apresiasi dukung sobat moga sukses sehat ya sob tony</t>
  </si>
  <si>
    <t>terima kasih sobat apresiasi semangat semangat ya tony</t>
  </si>
  <si>
    <t>maap min pake aplikasi daftar aja uda error lho</t>
  </si>
  <si>
    <t>ehem pasal ayat uu ite nih</t>
  </si>
  <si>
    <t>blom lg klo syarat pake aplikasi buang wktu tuh ngisi mobil</t>
  </si>
  <si>
    <t>turun harga land cruiser hardtop mesin bensin full paper tax on selesai restorasi simpan</t>
  </si>
  <si>
    <t>om tp toilet spbu</t>
  </si>
  <si>
    <t>atur amat goblok dar tutup berita bangkrut nahkoda kapabel bidang</t>
  </si>
  <si>
    <t>mantap nih</t>
  </si>
  <si>
    <t>beli bbm subsidi atur pasti alas edukasi unt</t>
  </si>
  <si>
    <t>maen hp area spbu</t>
  </si>
  <si>
    <t>atm dijagain jam nonstop</t>
  </si>
  <si>
    <t>hallo atur gak pake hape spbu gmn nih cc</t>
  </si>
  <si>
    <t>baca luh</t>
  </si>
  <si>
    <t>wajah dunia energi glibal moga lancar sukses</t>
  </si>
  <si>
    <t>waahh keren abis harga mantap pertagas</t>
  </si>
  <si>
    <t>scan qr nya pakai hp gelombang ekektromagnetic dr hp kurang takar bahan bakar utk mbl tdk</t>
  </si>
  <si>
    <t>papua yg beras dr jawa barat or dki aja kabar kalo transportasi sendat gin</t>
  </si>
  <si>
    <t>mantap maju umkm indonesia</t>
  </si>
  <si>
    <t>hey tdk tau pura tdk tau truk sawit pake solar subsidi jgn goblok napa sih subsidi solar yg nikmat korporasi yg ngatur harga minyak goreng liat tuh spbu luar jawa isi truk sawit antri</t>
  </si>
  <si>
    <t>disitrubusi aja kacau bbm harga papua bullshit</t>
  </si>
  <si>
    <t>min yg coba kota bandung laku sopir angkot sopir angkot daftar ya beli bbm subsidi thx</t>
  </si>
  <si>
    <t>keren bgt nih</t>
  </si>
  <si>
    <t>ruwet ajig ruwet goblok</t>
  </si>
  <si>
    <t>mudah isi bahan bakar tinggal bayar eh eluu nyuruh instal aplikasi</t>
  </si>
  <si>
    <t>kalo antri solar smp bayang gak distribusi bahan pangan yg dibutuhin masyarakat</t>
  </si>
  <si>
    <t>yg gk hp trus suruh isi pake aer atur tolol yg</t>
  </si>
  <si>
    <t>lengkap baca ya</t>
  </si>
  <si>
    <t>maju umkm indonesia</t>
  </si>
  <si>
    <t>tepat canggih si upaya yg jaga komitmen salur bbm subsidi sasar yuk buru daftar web hak dpt bbm subsidi daftar</t>
  </si>
  <si>
    <t>urgensi daftar data beli pertalite ampe nomor ktp</t>
  </si>
  <si>
    <t>beli bensin pake aplikasi maaf emang gapapa nyalain hp pas pom bensin tolong edukasi masyarakat transaksi jual beli bensin aman nyala handphone</t>
  </si>
  <si>
    <t>kerja baguss</t>
  </si>
  <si>
    <t>tuju</t>
  </si>
  <si>
    <t>beli bbm subsidi atur pasti alas edukasi masyarakat pstnya yg hak pertalite amp solar simak ya</t>
  </si>
  <si>
    <t>bngt bnyk spbu murah tingkat ecer entr murah yg</t>
  </si>
  <si>
    <t>emg spbu trus arti gambat hp coret utk ap jd boong yaa hp</t>
  </si>
  <si>
    <t>ya energi daerah papua dr bbm listrik dll</t>
  </si>
  <si>
    <t>lha stok batas salah pertamax ramah lingkung</t>
  </si>
  <si>
    <t>ya energi daerah papua dr bbm listrik dll butuh masyarakan papua</t>
  </si>
  <si>
    <t>pertalite mending khusus motor kendara sih kalo mobil pribadi mending larang</t>
  </si>
  <si>
    <t>template banget loe min</t>
  </si>
  <si>
    <t>freak bijak</t>
  </si>
  <si>
    <t>perbanykn spbu biar murah</t>
  </si>
  <si>
    <t>belik pertalite aja klen ribetin</t>
  </si>
  <si>
    <t>youtube tolong aktif jelas tvone kait bbm subsidi aplikasi dengar khalayak luas moga kenan terima kasih</t>
  </si>
  <si>
    <t>paksa pake aplikasi tp aplikasi ngebug servernya klo gasiap mah gausah</t>
  </si>
  <si>
    <t>heihh bapak ra duwe henpon android piye we nek kentekan bensin kon dorong sampe nemu ecer apikkk jiwa</t>
  </si>
  <si>
    <t>cape sekolah taun trus ajarin listrik statis petinggi idiioooot</t>
  </si>
  <si>
    <t>pom bensin ga nyalain hp</t>
  </si>
  <si>
    <t>wkwkwkwkkkk bnr ughaaa kocaaaakkk cc</t>
  </si>
  <si>
    <t>toilet aja udah bayar ko dijagain</t>
  </si>
  <si>
    <t>enak dgr jelas lgsg dr yg sangkut silah admin admin bumn</t>
  </si>
  <si>
    <t>booo</t>
  </si>
  <si>
    <t>fix ganti ku motor listrik hayoh ngainstallan aplikasi gilir peuting hape pareum bensin beak teu ngeusian rudet</t>
  </si>
  <si>
    <t>bijak transisi energi cepat lambat</t>
  </si>
  <si>
    <t>kerjasama bidang hotel jalan umkm kembang</t>
  </si>
  <si>
    <t>orang miskin yg tdk hp android tdk butuh bbm subsidi tp sulit orang kaya beli hp kuota makan sunti dr perintah subsidi yg kaya takut dgn alas kerja</t>
  </si>
  <si>
    <t>aneh</t>
  </si>
  <si>
    <t>moga rumus pakai proses transisi energi</t>
  </si>
  <si>
    <t>alhamdulillah umkm udah bangkit</t>
  </si>
  <si>
    <t>bikin repot fungsi utk</t>
  </si>
  <si>
    <t>kesini hidup indonesia ribet ribet rakyat makmur ya gpp rakyat lgi susah sistem yg ribet iya bnyak uang la rakyat yg paket aja susah beli</t>
  </si>
  <si>
    <t>yuk sukses sebentar selenggara</t>
  </si>
  <si>
    <t>sempat umkm kembang bidang hotel</t>
  </si>
  <si>
    <t>bijak aneh pake skan sken biar liat pinter nyapres</t>
  </si>
  <si>
    <t>install iku gegoro hadiah umroh adain undi</t>
  </si>
  <si>
    <t>salah satu wahyu guna aplikasi isi pertalite sulit orang gagap teknologi</t>
  </si>
  <si>
    <t>bijak transisi energi gasken</t>
  </si>
  <si>
    <t>mesti dm min</t>
  </si>
  <si>
    <t>sukses</t>
  </si>
  <si>
    <t>keren umkm kembang usaha gaet bidang hotel</t>
  </si>
  <si>
    <t>bagus terobos matul karan mobil bagus mewah bek bbm supsidi sampe sampe ku negeur mibil ejak bang nga orang miskin mobil mewah ko beli bbm nya supsidi nikmat bbm supsidi</t>
  </si>
  <si>
    <t>perang russia ukraina bikin komoditas ga stabil harga minyak duni</t>
  </si>
  <si>
    <t>moga hasil baik</t>
  </si>
  <si>
    <t>serang badai covid alhamdulillah umkm bangkit</t>
  </si>
  <si>
    <t>okeyy mba</t>
  </si>
  <si>
    <t>sukses bijak hasil</t>
  </si>
  <si>
    <t>nyusahin aja</t>
  </si>
  <si>
    <t>giat temu bisnis dorong umkm maju</t>
  </si>
  <si>
    <t>rancang bijak transisi energi</t>
  </si>
  <si>
    <t>moga bijak hasil realisasi</t>
  </si>
  <si>
    <t>tolong hapus akun</t>
  </si>
  <si>
    <t>rakyat loh yg ngomong</t>
  </si>
  <si>
    <t>keren umkm bangkit</t>
  </si>
  <si>
    <t>pas masuk gak konek link aja rudet</t>
  </si>
  <si>
    <t>rakyat udh sulit cari duit beli bensin sulit beli pertamini aja yg keteng itung nolong usaha</t>
  </si>
  <si>
    <t>ustadz ustadz nya islam nusantara aka nu ya typical banget cinta amplop</t>
  </si>
  <si>
    <t>aplikasi na error keneh pas registrasi teu cnah no sdah terdafrar pas coba lupa pin kode otp teu wae sms na jdi kudu kumha</t>
  </si>
  <si>
    <t>installan aplikasi ko ka samsung lipek ciek apak wak ndak ba android do</t>
  </si>
  <si>
    <t>engga psikotest interview aja om</t>
  </si>
  <si>
    <t>gak timbang orang tua kaum ga handphone hpnya nge lag banget whatsaap free facebook</t>
  </si>
  <si>
    <t>maksud ngumpulin big data yg juta yg tanggung data aman disalahgunakan</t>
  </si>
  <si>
    <t>urung wacana krna trsbt solusi yg manfaat bg khalayak bnyk</t>
  </si>
  <si>
    <t>dm min</t>
  </si>
  <si>
    <t>jgn bikin rakyat susah kerepot dgn yg tdk faedah utk rakyat klo utk mslh hak tdk bbm subsidi tugas spbu bsa jenis kendaraanya</t>
  </si>
  <si>
    <t>tolong kau kasih jelas</t>
  </si>
  <si>
    <t>hemat kode qr aplikasi spbulah yg menscan dr data yg discan spbu tugas baca data mesin sesuai tdk kendara yg pakai</t>
  </si>
  <si>
    <t>pd beli bbm bersubsudi aplikasi susah rakyat klo motor mobil si pinjam si kota jalan si hrs aplikasi dr hp si hrs pikir</t>
  </si>
  <si>
    <t>wacana beli bbm subsidi dgn hp urung hal larang beli bbm gen tdk solusi yg shell sedia wadah khusus utk beli yg wadah</t>
  </si>
  <si>
    <t>for your references</t>
  </si>
  <si>
    <t>tumpah liter</t>
  </si>
  <si>
    <t>sdh brpa kali gonta ganti presiden cma rezim sy ngalamin beli bbm sampe antri</t>
  </si>
  <si>
    <t>hapus tulis amp tanda larang hp isi bensin</t>
  </si>
  <si>
    <t>coba dengerin resah rakyat</t>
  </si>
  <si>
    <t>konsisten kota nama main alus biar market geser antri pertalite pertamax anabel analisis gembel</t>
  </si>
  <si>
    <t>anggar regional jawa subholding upstream canang bor sumur eksplorasi sumur gqx offshore laut jawa publishertory</t>
  </si>
  <si>
    <t>udah bener kartu eh diilangin emang kocak sih</t>
  </si>
  <si>
    <t>pertalite susah gak pakai pertamax aja pertamax bagus</t>
  </si>
  <si>
    <t>bodo antri si tugas spbu asyik ngobrol ga</t>
  </si>
  <si>
    <t>salah drama korea romantis ongoing drakorindo link eat love kill subtitle indonesia epi</t>
  </si>
  <si>
    <t>why why why</t>
  </si>
  <si>
    <t>sngt sukses bumn nya men bumn nya yg bkin bumn jd alat kampanye gratis nya untung aq jarang bngt atm jd ga liat muka nya yg</t>
  </si>
  <si>
    <t>pusing mikiri hak subsidi pertalite usul mobil wajib non subsidi sepeda motor angkut yg subsidi</t>
  </si>
  <si>
    <t>berita nyebutnya pake aplikasi daftar via web gimana betul</t>
  </si>
  <si>
    <t>suruh and aja nih kerja nya naekin harga citra reak rugi ribetin nyusahin rakyat</t>
  </si>
  <si>
    <t>karyawan senyum kayak mbak kasir minimarket cocok kode qr beli pom bensin panas antri padat hadap kendara abai bawa gawai habis baterai</t>
  </si>
  <si>
    <t>pdhl plang guna yg layak gak layak subsidi trus edukasi pegawai lapang pake aplikasi</t>
  </si>
  <si>
    <t>gin daftar</t>
  </si>
  <si>
    <t>kait pertalite cipta sistem yg koneksi dgn data kendara cipta sistem scanning isi otomatis keluar bbm jenis kendara penuh kriteria penuh alarm ngatur user</t>
  </si>
  <si>
    <t>ujicoba aplikasi nya jelek login ga daftar nomer telpon daftar lupa password ga dapet ajah sms reset password nya beli bensin pake aplikasi maha atuh maha</t>
  </si>
  <si>
    <t>gimana nasib orang orang gadget bom alami digitalisasi</t>
  </si>
  <si>
    <t>langkah menteri bumn dukung transisi energi energi ramah lingkung</t>
  </si>
  <si>
    <t>terima kasih sobat dukung sukses rian</t>
  </si>
  <si>
    <t>terima kasih apresiasi sobat sukses rian</t>
  </si>
  <si>
    <t>kagak yg hasil</t>
  </si>
  <si>
    <t>hehehe duaarrrr</t>
  </si>
  <si>
    <t>ribet lau</t>
  </si>
  <si>
    <t>beli pertalite buka aplikasi ya cek gak eligible udah ngantri panas ujan an buru gak kuota app nya error gaptek yg gak bawa hape deket kudu piye bu ribet</t>
  </si>
  <si>
    <t>mohon tinjau bijak beli pertalite pakai aplikasi hp udh full</t>
  </si>
  <si>
    <t>dengerin</t>
  </si>
  <si>
    <t>moga tindak ya masyarakat yg butuh bahan bakar penuh</t>
  </si>
  <si>
    <t>kasi clue dijabarin programer akunting indonesia yg pinter</t>
  </si>
  <si>
    <t>toilet aja diurusin ga efek nyapres eh</t>
  </si>
  <si>
    <t>sukses selaluu</t>
  </si>
  <si>
    <t>jajar bod komisaris atur bbm subsidi sulit rakyat mundur kebijakanngaco kebijakanngaco kebijakanngaco</t>
  </si>
  <si>
    <t>oalah gitu</t>
  </si>
  <si>
    <t>bijak ustadz bijak beli bbm aplikasi rakyat susah</t>
  </si>
  <si>
    <t>oh oke oke ka makasih info nya ka</t>
  </si>
  <si>
    <t>nih rame rame emg bogor udh</t>
  </si>
  <si>
    <t>bunuh ajar pangkal andan polisi fajar jemput korban sekolah sampa tkp laku ajak</t>
  </si>
  <si>
    <t>jajar bod komisaris pikir atur subsidi bbm berat rakyat mundur kebijakanngaco</t>
  </si>
  <si>
    <t>pas ya spbu aktif hp</t>
  </si>
  <si>
    <t>spbu tulis cashback pake tugas spbunya gatau</t>
  </si>
  <si>
    <t>sidoarjo jawa timur klo malam nosel pertalite tutup</t>
  </si>
  <si>
    <t>ngga malam ngga siang ngantrinya</t>
  </si>
  <si>
    <t>pura pura gak</t>
  </si>
  <si>
    <t>gimana dah isi bensin pom bensin nya mati lampu udh tinggal isi doank udh menit nunggu ga beres</t>
  </si>
  <si>
    <t>larang keras utk hidup smartphone kawasan spbu mana nyari opsi pajak kendara atw rejim yg ngawur klu ledak spbu nya yg tanggung rezimsusahinrakyat rezimsusahinrakyat</t>
  </si>
  <si>
    <t>jual bbm ato jual aplikasi ya mas rakyat ribet</t>
  </si>
  <si>
    <t>tim communications luas sosialisasi guna hp area pomp bensin</t>
  </si>
  <si>
    <t>ribet ya hrs pake monopoli hmpir jual rakyat smkin dpersulit dn ribet</t>
  </si>
  <si>
    <t>kendara motor utk tani nelayan dll yg bbm subsidi pakai nik spt kartu tani</t>
  </si>
  <si>
    <t>bodor ah</t>
  </si>
  <si>
    <t>pom bensin register beli dg catat nopol nik sim sesuai batas hari logika aja km angkot muter pakai kendara liter brp km</t>
  </si>
  <si>
    <t>tau kabar sbnrnya pas mudik liat spbu jabar kl mobil catat max subsidi perharin</t>
  </si>
  <si>
    <t>ubah ekosistem kendara dpt solusi ramah lingkung kurang cemar lingkung udara menteri</t>
  </si>
  <si>
    <t>cc bijak ngaco</t>
  </si>
  <si>
    <t>khusus kendara utk angkut bahan pokok wajib daftar subsidi biaya logistik turun alih angkut ojol</t>
  </si>
  <si>
    <t>coba ulang bahas jaman mbah presiden</t>
  </si>
  <si>
    <t>yg butuh pertalite daftar juli laksana minggu telah</t>
  </si>
  <si>
    <t>finally got the answer</t>
  </si>
  <si>
    <t>min mob cek dm</t>
  </si>
  <si>
    <t>gue motor doyok isi pertamax mulu pertalite kosong isi full noban gob</t>
  </si>
  <si>
    <t>sakittt yg bikin bijak gin</t>
  </si>
  <si>
    <t>bula sih kalo beli solar subsidi kudu beli de sih lucu</t>
  </si>
  <si>
    <t>anjir kalsel weh</t>
  </si>
  <si>
    <t>ribet bgt siihh</t>
  </si>
  <si>
    <t>keren spbu larang main hp bayar aja ribet otak atik hp spbu pake appnya daerah susah sinyal nyusahin orang tua mesti pake metode yg ribet</t>
  </si>
  <si>
    <t>open jasa hapus akun email pass bayar akun hapus indra bekti jorji holywings re</t>
  </si>
  <si>
    <t>ekonomi menteri badan usaha milik negara bumn erick thohir harga bahan bakar minyak bbm jenis</t>
  </si>
  <si>
    <t>bijak paradoks alias cerdas satu larang aktif hp lokasi spbu sisi wajib kasih liat ap</t>
  </si>
  <si>
    <t>sepeda motor produksi sistem injeksi nmengharuskan guna bbm oktan</t>
  </si>
  <si>
    <t>harap perintah henti syarat beli minyak go</t>
  </si>
  <si>
    <t>bbm subsidi negara keluar belanja subsidi dibay</t>
  </si>
  <si>
    <t>siape lg klo lutut jual app demen die yg mnghsilkan cuan cepat bnyak</t>
  </si>
  <si>
    <t>udah bener pake shell posisi jabodetabek nantrian ga sistem apps gaming point tarik</t>
  </si>
  <si>
    <t>bener kalo perspektif gua tp masyarakat kita wkwk kalo si</t>
  </si>
  <si>
    <t>halo nsaya verifikasi akun isi kode otp koneksi timeout</t>
  </si>
  <si>
    <t>iya mas barusan googling pikir solusi larang ponsel it</t>
  </si>
  <si>
    <t>woi ya ga gitu bgst kasi orang kerja isi bbm sana cari</t>
  </si>
  <si>
    <t>berita warga pesisir pantai nusakambangan cilacap rebut tump</t>
  </si>
  <si>
    <t>paksa masyarakat app spbu isi bbm moga ledak</t>
  </si>
  <si>
    <t>ribet aja nih rakyat</t>
  </si>
  <si>
    <t>biar aja takut bawa kalo nda kurungin ntuhkan dandan biar kam</t>
  </si>
  <si>
    <t>pas hub angkat gak</t>
  </si>
  <si>
    <t>emangnye udeh hp area spbu min</t>
  </si>
  <si>
    <t>kayak main kaki ni rampok uang dn rampok data nhiiiiiikkkkssss</t>
  </si>
  <si>
    <t>buahahahahqhqhaha</t>
  </si>
  <si>
    <t>mas nitip klo ga salah spbu hp ya rambu</t>
  </si>
  <si>
    <t>gk pake hp spbu orang yg sdh bayar bensin manggunakan aplikasi via hp tam</t>
  </si>
  <si>
    <t>alam pakak loading bayar orang udah antri spbu yg tolak alas alat ru</t>
  </si>
  <si>
    <t>bener nih topik gue jd konsumen pertamax biar mesin motor awet jd nyaman</t>
  </si>
  <si>
    <t>web ntahap daftar guna nsiapkan ktp stnk foto kendara nbuka</t>
  </si>
  <si>
    <t>tuju buat alas masuk akal men</t>
  </si>
  <si>
    <t>tambah tugas polri bayang yg wajib aplikasi</t>
  </si>
  <si>
    <t>konsumen yg ngisi bbm pertalite solar kalo gak dgn pompa isi area spbu bu</t>
  </si>
  <si>
    <t>nape gin mulu pack aplikasi</t>
  </si>
  <si>
    <t>ya min</t>
  </si>
  <si>
    <t>bijak yg masuk akal woi lucu larang hp spbu tp pakai hp lawak ntar ka</t>
  </si>
  <si>
    <t>cari jalan keluar timbul</t>
  </si>
  <si>
    <t>kalo udah nya dah</t>
  </si>
  <si>
    <t>juli pekan depan provinsi</t>
  </si>
  <si>
    <t>gonta ganti pertalite pertamax gak efek mesin kah</t>
  </si>
  <si>
    <t>beli minyak curah pake peduli lindung bibi gw misuh misuh sebage generasi tua yg gaptek warung nasi yaa</t>
  </si>
  <si>
    <t>simak save nih tata daftar konsumen solar subsidi pertalite</t>
  </si>
  <si>
    <t>moga harap terap beli pertalite solar</t>
  </si>
  <si>
    <t>iya nih anies usung capres ganti usung ahok kasi</t>
  </si>
  <si>
    <t>ga beli motor ya</t>
  </si>
  <si>
    <t>solusi pecak solusi solusi</t>
  </si>
  <si>
    <t>kl sdh daftar qr kirim email print kertas sticker</t>
  </si>
  <si>
    <t>milik mobil oktan langgan pertalite nharusnya</t>
  </si>
  <si>
    <t>tuju kakak antri pjg amp ribet sy hny mnympaikn sistem yg spt it</t>
  </si>
  <si>
    <t>nya guna pertalite motor nisi fulltenk motor brp sihhh nagh ruwetnesia nberarti larang</t>
  </si>
  <si>
    <t>ya org ganti sm robot tingkat penggangguran byk nbapak yg usia</t>
  </si>
  <si>
    <t>pertamax jg subsidi les harga normal pertamax pasar skrg udah nyentuh harga rb</t>
  </si>
  <si>
    <t>pernahh ginii pas kelas ndosen sera asli situ ya kenal bu ajeng ngga loh</t>
  </si>
  <si>
    <t>save nih biar gak bingung gimana daftar konsume</t>
  </si>
  <si>
    <t>blh klo cm main hp maaah nyg blh hp nya nyalain</t>
  </si>
  <si>
    <t>mumpung sdg uji coba kota kabupaten nada baik cari formula yg bbm ber</t>
  </si>
  <si>
    <t>tuju putus baik</t>
  </si>
  <si>
    <t>bgm nih pertamini nbukankah jkw bilang negara banyak atur nperaturan yg me</t>
  </si>
  <si>
    <t>gaji ahok jd komut bs dgn fasilitas gaji rijik dlm sel brp ya</t>
  </si>
  <si>
    <t>yg hak pertalite masyarakat yg ekonomi tengah bawah hpnya canggih ter</t>
  </si>
  <si>
    <t>daftar konsumen solar subsidi pertalite juli yaa</t>
  </si>
  <si>
    <t>ga jg sih beli ga liter dasar duit isi rb isi</t>
  </si>
  <si>
    <t>negara alami bangkrut sri lanka beli bbm pake syarat tunjuk token indonesia beli pertalite da</t>
  </si>
  <si>
    <t>tulis jawab kolom komentar serta hashtag luckyfriday mention minimal orang te</t>
  </si>
  <si>
    <t>wajib follow instagram fanpage twitter postingan</t>
  </si>
  <si>
    <t>ahok jd komut gaji</t>
  </si>
  <si>
    <t>seringkali stnk nama istri nlalu beli spbu anak suami nlalu ak</t>
  </si>
  <si>
    <t>simak yuk tata daftar konsumen solar subsidi pertalite</t>
  </si>
  <si>
    <t>larang hp spbu picu bakar ntar spbu wajib</t>
  </si>
  <si>
    <t>dear nsebelum masuk area spbu mastiin hp mati minimal mode pesawat nsetakut pake</t>
  </si>
  <si>
    <t>masyarakat hak pertalite solar daftar datany</t>
  </si>
  <si>
    <t>beli minyak curah pake peduli lindung bibi gw misuh misuh sebage generasi tua yg gaptek warung</t>
  </si>
  <si>
    <t>daftar juli</t>
  </si>
  <si>
    <t>ga mikir bikin atur ngisi bensin kudu pake app bikin ribet ga pake app aja ngantr</t>
  </si>
  <si>
    <t>nomor kendara daftar samsat baik nlalu tentu yg</t>
  </si>
  <si>
    <t>upaya perintah harap sedia bbm masyarakat miskin wilayah indonesia</t>
  </si>
  <si>
    <t>negara alami bangkrut sri lanka beli bbm pake syarat tunjuk token indonesia beli pertalite</t>
  </si>
  <si>
    <t>hak pertalite solar yuk daftar</t>
  </si>
  <si>
    <t>brrti tanggal juli main hp ya pom bensin</t>
  </si>
  <si>
    <t>nyapres bikin bijak ngga</t>
  </si>
  <si>
    <t>shrnya terapkn daerah kota daerah</t>
  </si>
  <si>
    <t>selamat negeri konoha kumpul kesatria yg super tangguh</t>
  </si>
  <si>
    <t>lucu bgt bikin atur blm lg klo daerah jkt yg beli spbu org desa org</t>
  </si>
  <si>
    <t>otw daftar nih</t>
  </si>
  <si>
    <t>gin bener bener sasar sih</t>
  </si>
  <si>
    <t>merpati piye kabar ancur gegara ya bener ngk sih bener</t>
  </si>
  <si>
    <t>yg masuk provinsi download aplikasi yuk</t>
  </si>
  <si>
    <t>provinsi tgl juli</t>
  </si>
  <si>
    <t>beli bbm subsidi atur nsesuatu pasti alas edukasi unt</t>
  </si>
  <si>
    <t>good news nih nyimak ah</t>
  </si>
  <si>
    <t>mana kelen bikin atur kalo beli bbm pake aplikasi udah gak kelen pikir bahaya</t>
  </si>
  <si>
    <t>kuasa politik citra bodoh zalim sesat indonesia kaya</t>
  </si>
  <si>
    <t>simak nih tahap daftar konsumen solar subsidi pertalite</t>
  </si>
  <si>
    <t>hallo nhallo nbgmn ttg</t>
  </si>
  <si>
    <t>lucu spbu larang main hp tp bayar dr hp spbu</t>
  </si>
  <si>
    <t>daftar tgl juli yaa</t>
  </si>
  <si>
    <t>simak nih bestieku daftar konsumen solar subsidi pertalite</t>
  </si>
  <si>
    <t>ngisi rb ribet bener</t>
  </si>
  <si>
    <t>maju yg orang indonesia beli barang butuh utama hrs pakai aplikasi minyak goreng pakai</t>
  </si>
  <si>
    <t>cari solusi solusi</t>
  </si>
  <si>
    <t>gpp sih tp leperi ato ceode ga min</t>
  </si>
  <si>
    <t>woi gitu oprator spbu ku gak mati tolong atur</t>
  </si>
  <si>
    <t>kacau negara</t>
  </si>
  <si>
    <t>minimal pake sandal aja udah syukur tuh kalo gapake sepatu kena tilang gabisa gitu bom beli</t>
  </si>
  <si>
    <t>kayak nggak gitu deh krna stelah sy baca website nya konsumen ygs</t>
  </si>
  <si>
    <t>maju yg orang indonesia beli barang butuh utama hrs pakai aplikasi minyak goreng pa</t>
  </si>
  <si>
    <t>pengin timbang uji coba beli bensin daftar provinsi</t>
  </si>
  <si>
    <t>register samsat buat api pe</t>
  </si>
  <si>
    <t>nuwun sewu amp bahaya nyala hp spbu klw bakar gim bny</t>
  </si>
  <si>
    <t>daftar kendara siap terap app juli error katany</t>
  </si>
  <si>
    <t>iya usaha pay cashless biasapan om lamun isi saldo aya biaya admin eta maksudna anu komen teh sigana</t>
  </si>
  <si>
    <t>rakyat yg nggak beli pertalite akibat atur yg guna</t>
  </si>
  <si>
    <t>jg pln smw bumn negeri</t>
  </si>
  <si>
    <t>formalitas aja</t>
  </si>
  <si>
    <t>rumit sistem jual klasifikasi mobil mewah isi</t>
  </si>
  <si>
    <t>korban bakar korban jiwa main hp spbu yg tanggung jawa</t>
  </si>
  <si>
    <t>jg alas dukung regulasi pres byk mobil mewah beli bbm subsidi ga sasa</t>
  </si>
  <si>
    <t>spbu kait pos kertas printout apk jenis voucher gun</t>
  </si>
  <si>
    <t>main hape spbu larang neh beli pertalite pake aplikasi hape</t>
  </si>
  <si>
    <t>spbu wajib sedia wifi gratis</t>
  </si>
  <si>
    <t>pegawai spbu tolong teriak telinga jual aplikasi</t>
  </si>
  <si>
    <t>kuota sinyal nya bagus hp nya sorry kentang iya delete aplikasi</t>
  </si>
  <si>
    <t>iya tau mas liat aja foto nmax scoopy keluar</t>
  </si>
  <si>
    <t>woii njing zaman sby himbauan</t>
  </si>
  <si>
    <t>klo sulit mudah dprlayakdireformasitotal rakyatsudahmuak</t>
  </si>
  <si>
    <t>min beli pertalite pom main hp ya</t>
  </si>
  <si>
    <t>kalo ribet bikin mudah cc</t>
  </si>
  <si>
    <t>seyogyanya atur langgar wkwkwk</t>
  </si>
  <si>
    <t>sungguh brilian</t>
  </si>
  <si>
    <t>kalkulator kak hp</t>
  </si>
  <si>
    <t>tunggu argumentasi cacat nalar</t>
  </si>
  <si>
    <t>momen ga saing maju teknologi bilang aneh janggal</t>
  </si>
  <si>
    <t>guna larang skrg isi bbm aja buka aplikasi hp nterus daerah</t>
  </si>
  <si>
    <t>bedaaaaa ya bedaaaaaaa bedaaaa laaaaah bedaaaaa</t>
  </si>
  <si>
    <t>kalo ribet mesti gampang yee</t>
  </si>
  <si>
    <t>cc nmikir</t>
  </si>
  <si>
    <t>korban bakar korban jiwa main hp spbu yg tanggu</t>
  </si>
  <si>
    <t>brp perintah subsidi utk jenis bbm lbh buka spy masyarakat</t>
  </si>
  <si>
    <t>menteri bumn maskapai terbang pelita air layan tumpang milenial nanak usaha pert</t>
  </si>
  <si>
    <t>perintah baik hierarki bumn salah satu tempat</t>
  </si>
  <si>
    <t>coba jeli selang ngisi yan</t>
  </si>
  <si>
    <t>ncc</t>
  </si>
  <si>
    <t>nuwun sewu amp bahaya nyala hp spbu klw bakar gim</t>
  </si>
  <si>
    <t>trus nasib dagang ecer beli gimana trus yg rumah pelosok dar</t>
  </si>
  <si>
    <t>beli bbm mesti pakai aplikasi beli minyak goreng mesti pakai peduli lindung</t>
  </si>
  <si>
    <t>bingung nkalau aktifin hape trus spbu nya meledsk gimana</t>
  </si>
  <si>
    <t>minimal pake sandal aja udah syukur tuh kalo gapake sepatu kena tilang gabisa gitu bom</t>
  </si>
  <si>
    <t>oalaahhhhhh unnie kalo ngajak makan bawa bawa karung dandan masuk</t>
  </si>
  <si>
    <t>bijak bikin susah orang beli butuh pokok beli pertalite pertalite har</t>
  </si>
  <si>
    <t>sakit jiwa lembaga ya enggak tpi yg ngurusnya norg untung rugi gila khan</t>
  </si>
  <si>
    <t>smart action dr perintah counter measure yg byk negara masya</t>
  </si>
  <si>
    <t>asli logika dasar bgt ya ga mikir kelennnn cc menteri jg naung deh</t>
  </si>
  <si>
    <t>negeri isi orang pintar mau ketawa aja ya ha ha ha cu</t>
  </si>
  <si>
    <t>mana kelen bikin atur kalo beli bbm pake aplikasi udah gak kelen pikir ba</t>
  </si>
  <si>
    <t>aneh indonesia urus orang orang yg tolol main hp alias buka aplikasi</t>
  </si>
  <si>
    <t>berita yg edar beli salah bbm pakai aplikasi nkatanya gak main handphone nini gim</t>
  </si>
  <si>
    <t>ya pakai masak bis</t>
  </si>
  <si>
    <t>maaf kak yg kerja pom bensin bayar pakai aplikasi tinggal scan aja ga</t>
  </si>
  <si>
    <t>analisa yg cerdas napakah bohong publik</t>
  </si>
  <si>
    <t>kalo pertalite pertamax kek mas deh bensin oktannya aja yg beda ga si soaln</t>
  </si>
  <si>
    <t>kepul tuh yg tangkap tahu yg gk tangkap tahu yg gak ket</t>
  </si>
  <si>
    <t>rakyat tindas rejim nbeli migor hrs pake ktp aplikasi peduli lindung beli bbm</t>
  </si>
  <si>
    <t>wkwk ajg bener nyg gbr hapenya esia hidayah kali ya</t>
  </si>
  <si>
    <t>untung lo warga negara singapore mat sana tuntut mikir logis</t>
  </si>
  <si>
    <t>gw udah kartu debit pusing ga tuh bayar kartu adm bln pake mobile banking yg enak aja si mal</t>
  </si>
  <si>
    <t>bijak yg susah rakyat nindonesia hy jawa bal ngana yg daerah pencil nga pake aplikasi aj</t>
  </si>
  <si>
    <t>beli migor pake beli pertalite pake nrakyat jelata ribet</t>
  </si>
  <si>
    <t>indonesia negeri susah orang susah susah perintah perintah bijak</t>
  </si>
  <si>
    <t>iya usaha pay cashless biasapan om lamun isi saldo aya biaya admin eta maksudna anu komen teh sigan</t>
  </si>
  <si>
    <t>coba bijak yg logis orang gagap teknologi beli bbm subsidi susah ujung nya</t>
  </si>
  <si>
    <t>yg sy bayang dalam ngerti instal appnya ngk ya bkn protes tpi prtimbangan</t>
  </si>
  <si>
    <t>nitip puang norang negri ngisi bbm isi pakai aplikasi nribet idup</t>
  </si>
  <si>
    <t>konsumen yg ngisi bbm pertalite solar kalo gak dgn pompa isi area</t>
  </si>
  <si>
    <t>rokok ya area spbu jarak meter dispenser isi</t>
  </si>
  <si>
    <t>bangsat beli bensin pake aplikasi yg pertalite solar gaboleh maen hp kalo isi bensin</t>
  </si>
  <si>
    <t>beli bbm nominal ganjil hindar curang spbu ninformasi hoaks nselengkapnya</t>
  </si>
  <si>
    <t>tolak keras beli bbm pakai aplikasi apa repot menyusa</t>
  </si>
  <si>
    <t>salah luhut kumpul big data juta plus perpanjan</t>
  </si>
  <si>
    <t>no pdt pn vibadak halaman kwitansi pembebasab tanah olah ol</t>
  </si>
  <si>
    <t>oh sorry solusi ga smartphone daftar website</t>
  </si>
  <si>
    <t>alam pakak loading bayar orang udah antri spbu yg tolak ala</t>
  </si>
  <si>
    <t>gk pake hp spbu orang yg sdh bayar bensin manggunakan aplikasi via hp</t>
  </si>
  <si>
    <t>jendral menteri atr laku periksa lokasi tanah milik palabuhanratu kab</t>
  </si>
  <si>
    <t>didu udah mundur aneka posisi mundu</t>
  </si>
  <si>
    <t>bijak yg bijak bahaya selamat areal pom be</t>
  </si>
  <si>
    <t>kalo beli minyak goreng pake peduli lindung beli pertalite gak pake biar gak banyak</t>
  </si>
  <si>
    <t>kisah nasihat suami profesi dapet sua</t>
  </si>
  <si>
    <t>minum bbm subsidi mesti pake aplikasi nwajarlah sasar yg subsidi golong sultan ntapi</t>
  </si>
  <si>
    <t>baca media kadrun</t>
  </si>
  <si>
    <t>tangkap opini solusi mas nmungkin bijak buah simalak</t>
  </si>
  <si>
    <t>biosolar rp npertalite rp nharusnya atur spedamotor</t>
  </si>
  <si>
    <t>lihat layan kualitas bensin mudah bayar bensin sa</t>
  </si>
  <si>
    <t>ubah sulit terima yg sdh nyaman pakai pertalite pakai aplikasi dekat</t>
  </si>
  <si>
    <t>liat logo kak tau logo ga pakek hand phone key</t>
  </si>
  <si>
    <t>mesti kali dm twitter ap slah nya jelasin langsung bkan ap kyak mn</t>
  </si>
  <si>
    <t>km ngerti beli pertalite solar daftar</t>
  </si>
  <si>
    <t>jogja yg support aplikasi spbu coco company owned company operates mi</t>
  </si>
  <si>
    <t>solar premium bengsin nari na naon nuyuhan sia mah daek dibo</t>
  </si>
  <si>
    <t>sadar bumn isi ngga kompeten praktisi amat ngerti miny</t>
  </si>
  <si>
    <t>yg ga motor busway jaklingko kalo batavia daerah jg jaklingko kal</t>
  </si>
  <si>
    <t>kriteria aja yg hak pake pertalite artikel dasar si mamit resmi perta</t>
  </si>
  <si>
    <t>jual paksin ya why not jual paksin plorotin pertalite pelan abi</t>
  </si>
  <si>
    <t>pesawat jga nyala hp sedia wifi khusus selam</t>
  </si>
  <si>
    <t>gak fungsi sih tracking klo yg pergi udh hapal</t>
  </si>
  <si>
    <t>judul berita pakai tarik baca ya disalahgunakan judul</t>
  </si>
  <si>
    <t>emg gajelas bang tuju td kolom komen utk track kendara ga plat</t>
  </si>
  <si>
    <t>tahap uji coba gaes uji coba yuk sukseska</t>
  </si>
  <si>
    <t>klo model bayar gin sih yg pom jg bs nyediain gaperlu pa</t>
  </si>
  <si>
    <t>negara yo ngene banget rakyate sengaja bikin susah njgn dah males rakyat</t>
  </si>
  <si>
    <t>pras kalo data beli bbm subsidi sasar</t>
  </si>
  <si>
    <t>beli minyak goreng pakai peduli lindung ktp ni pake ktp beli ngutang sih elah ribet dah nbe</t>
  </si>
  <si>
    <t>negara kesini sulit warga atur ga</t>
  </si>
  <si>
    <t>wooooii juancoookkkk ntr mobil motor nya letup tanggung gak nbang</t>
  </si>
  <si>
    <t>insident bakar sapa yg salah om nmakin kesini akan paksa</t>
  </si>
  <si>
    <t>guna larang skrg isi bbm aja buka aplikasi hp nterus daer</t>
  </si>
  <si>
    <t>minum bbm subsidi mesti pake aplikasi nwajarlah sasar yg subsidi golong sultan ntap</t>
  </si>
  <si>
    <t>nperusahan hijau nterus andal ebt</t>
  </si>
  <si>
    <t>sadar ya lae nkan udah bohong</t>
  </si>
  <si>
    <t>selamat negara komedi gue bawa motor gue matiin hp isi bensin tp ni lucu bodoh</t>
  </si>
  <si>
    <t>yg sy tangkap kyanya applikasi trsebut dpt mndptkan data kendara serta alama</t>
  </si>
  <si>
    <t>terima kasih sobat apresiasi dukung jaga sehat seman</t>
  </si>
  <si>
    <t>terima kasih dukung apresiasi sobat selamat pagi jaga</t>
  </si>
  <si>
    <t>perintah wakanda kalo bikin atur emang rakyat melek teknologi smart</t>
  </si>
  <si>
    <t>bpk bilang tambah beli migor pake ktp aplikasi ped</t>
  </si>
  <si>
    <t>klo awas pasang cctv spbu jgn sok pake aplikasi yg ga apl</t>
  </si>
  <si>
    <t>halo tim pikir jadi jadi yg harap atur</t>
  </si>
  <si>
    <t>depan tdk hindar sistem digital yg kembang nmau</t>
  </si>
  <si>
    <t>negara tdk urus negara mundur mundur negarany</t>
  </si>
  <si>
    <t>mafia yg garuda triliun blm yg merpati dll nmafia jaman kebo sadis</t>
  </si>
  <si>
    <t>baca ya berita jgn judul aja nmasih ujicoba tgl juli buka daftar</t>
  </si>
  <si>
    <t>halah yg curang kontrol isi minyak jarak aja ketemu spbu so</t>
  </si>
  <si>
    <t>lha jaring internet aja remang rata bikin atur aneh kmrn ktnya yg</t>
  </si>
  <si>
    <t>barusan beli pertalite eh lupa beli pertamax si akang nya hari isi rb ltr skrg mah</t>
  </si>
  <si>
    <t>atas salah sasar subsidi bbm  daftar verifikasi guna bbm subsidi web</t>
  </si>
  <si>
    <t>pt  persero wajib guna bbm subsidi jenis pertalite solar daftar websi</t>
  </si>
  <si>
    <t>pt  persero terap mekanisme daftar bbm website</t>
  </si>
  <si>
    <t>pt  persero terap mekanisme daftar bbm website khusus kendara roda mobil money</t>
  </si>
  <si>
    <t>sekretaris usaha  patra niaga irto ginting terap syarat beli elpiji</t>
  </si>
  <si>
    <t xml:space="preserve"> daftar beli bbm subsidi pertalite solar mobil motor wajib</t>
  </si>
  <si>
    <t>corporate secretary pt  patra niaga irto ginting beli bbm subsidi utk kendara roda</t>
  </si>
  <si>
    <t>umum khusus roda guna pertalite solar  upaya layan baik masyarakat atur guna hak beli bbm subsidi daftar untukindonesia</t>
  </si>
  <si>
    <t>data  patraniaga persen masyarakat konsumsi persen total bbm subsidi</t>
  </si>
  <si>
    <t xml:space="preserve"> terap mekanisme kait daftar bbm website khusus kendara roda</t>
  </si>
  <si>
    <t>pt  persero ungkap pertalite solar konsumsi golong tengah</t>
  </si>
  <si>
    <t>oke barusan dpt info lg klo yk spbu yg jd tmpt uji coba trs yg uji coba yg mobil trs td liat tiktok  klo bayar dgn jarak dr tmpt isi mari tunggu info lg</t>
  </si>
  <si>
    <t>masyarakat tipu  original  imitasi</t>
  </si>
  <si>
    <t>poin gak masuk jelas  daftar jg butuh email implementasi roda model kaya bemo jg roda sopir bemo email cm bemo</t>
  </si>
  <si>
    <t>pt  patra niaga merincikan daftar kendara izin bbm jenis solar subsidi juli tempobisnis</t>
  </si>
  <si>
    <t>fakta heboh beli pertalite via  masyarakat khawatir daftar mudah booth spbu konsultasi offline bingung panik</t>
  </si>
  <si>
    <t xml:space="preserve"> sulit rakyat beli bbm subsidi masyarakat guna bbm subsidi milik</t>
  </si>
  <si>
    <t>pt  persero alas balik ubah sistem beli pertalite solar wajib guna</t>
  </si>
  <si>
    <t>fakta heboh beli pertalite via  masyarakat himbau khawatir daftar mudah booth spbu konsultasi offline bingung panik</t>
  </si>
  <si>
    <t>langgar hak warga negara  badan legalisator utk tentu yg beli bbm subsidi  badan teknis utk salur bbm</t>
  </si>
  <si>
    <t xml:space="preserve"> sulit rakyat beli bbm subsidi masyarakat guna bbm subsidi pil</t>
  </si>
  <si>
    <t xml:space="preserve"> udh blg tenang tanggal juli provinsi aja nerapin bkl booth offline</t>
  </si>
  <si>
    <t>juli  buka daftar beli bbm subsidi</t>
  </si>
  <si>
    <t>bbm pertalite solar pt  persero rencana terap sistem daftar terima subsidi</t>
  </si>
  <si>
    <t>area manager communication relation amp csr sumbagut pt  patra niaga taufikurachman daftar konsume</t>
  </si>
  <si>
    <t>gampang gaes jgn ribet lgs cus tgl juli daftar bkn batas  langkah bagus bgt sasar bbm subsidi</t>
  </si>
  <si>
    <t>bagus nih sasar  anjur masyarakat daftar jd ga hp juli ya pendaftaranya inget ya daftar batas mudah bgt beli bbm ga pakai hp gpp printout qrcode gaes</t>
  </si>
  <si>
    <t>catat gaes juli daftar bkn batas provinsi bbm subsidi sasar gak pakai hp jg both spbunya bantu masyarakat yg ga paham  antisipasi gaes</t>
  </si>
  <si>
    <t xml:space="preserve"> uji coba layan pertalite solar guna daftar jokowi indonesiamaju</t>
  </si>
  <si>
    <t>nggak pertamax turbo lengkap  technology ignition boost formula</t>
  </si>
  <si>
    <t>pemkot bandung motor beli pertalite wilayah daftar website  mobil wajib daftar juli</t>
  </si>
  <si>
    <t>sobattangerang juli  uji coba beli bbm pertalite solar subsidi daftar</t>
  </si>
  <si>
    <t xml:space="preserve">sobat bantu daftar sobat booth konsultasi sedia spbu giwang kantor cabang diy amp surakarta juli juli patraniagarjbt </t>
  </si>
  <si>
    <t>uji coba tahap kota alas  wajib pakai pertalite beli aplikasi</t>
  </si>
  <si>
    <t>direktur utama  patra niaga alfian nasution salur bbm subsidi atur sisi kuota segmentasi guna</t>
  </si>
  <si>
    <t xml:space="preserve"> patra niaga sub holding commercial amp trading pt  persero uji coba layan jual pertalite</t>
  </si>
  <si>
    <t>pt  persero ubah salur subsidi lpg kg uji coba diam diam</t>
  </si>
  <si>
    <t xml:space="preserve">bijak sesat orang miskin paksa ponsel pintar beli gas lpg kg drpd beli ponsel mending beli beras makan masak pake kayu bekas aja duh tolong rakyat tekan </t>
  </si>
  <si>
    <t xml:space="preserve"> masyarakat hak oleh pertalite solar daftar data website</t>
  </si>
  <si>
    <t>pt  persero ketat beli lpg kg ketat beli wajib beli</t>
  </si>
  <si>
    <t>juli  uji coba beli pertalite solar guna daftar</t>
  </si>
  <si>
    <t xml:space="preserve"> wajib masyarakat aplikasi daftar website tempobisnis</t>
  </si>
  <si>
    <t xml:space="preserve"> buka proses daftar provinsi beli jenis petralite solar minggu</t>
  </si>
  <si>
    <t>klo beli pake aplikasi baik  nyiapin kurir brg biar ngga kalah sm shop</t>
  </si>
  <si>
    <t xml:space="preserve"> buka proses daftar provinsi beli jenis petralite solar minggu juli cnnindonesia</t>
  </si>
  <si>
    <t>bbm pertalite solar pt  persero rencana terap sistem daftar terima subsidi lp</t>
  </si>
  <si>
    <t>baru oot  patuh mahzab perintah ribet susah ya</t>
  </si>
  <si>
    <t xml:space="preserve"> operator kelola migas indonesia harus masyarakat beli bensin jenis pertalite</t>
  </si>
  <si>
    <t xml:space="preserve"> implementasi beli nasional september</t>
  </si>
  <si>
    <t>juru bicara  masyarakat beli bensin jenis pertalite solar subsidi</t>
  </si>
  <si>
    <t>cegah timbun salah sasar  operator kelola migas indonesia resmi wajib ma</t>
  </si>
  <si>
    <t xml:space="preserve"> larang telepon seluler isi bahan bakar also  beli bahan baka</t>
  </si>
  <si>
    <t xml:space="preserve"> era ahok susah mudah</t>
  </si>
  <si>
    <t>daftar harga pertalite pertamax spbu  indonesia</t>
  </si>
  <si>
    <t xml:space="preserve">suruh pakai wifi </t>
  </si>
  <si>
    <t>gagal urus  rakyat susah djancookkk</t>
  </si>
  <si>
    <t>dirut  patra niaga alfian nasution dapat  badan usaha jual pertalite solar patuh salur bbm subsidi perintah sasar kuota</t>
  </si>
  <si>
    <t>pg tunas harap  tk tunas harap  sd sd plus murung pudak smp smp plus murung pudak sma sman tanjung</t>
  </si>
  <si>
    <t>brp perintah subsidi utk jenis bbm lbh buka spy masyarakat tahu ttg subsidi tsb utk modal produksi  sdh efisien</t>
  </si>
  <si>
    <t>ksp khawatir kuota bbm subsidi bijak  terap</t>
  </si>
  <si>
    <t>ahok sdh bahagia sukses bro komut  salar mrintah lu nyemir sepatu pake lidahlu ni lho bang napi</t>
  </si>
  <si>
    <t xml:space="preserve"> register member ngak</t>
  </si>
  <si>
    <t>perkara ribut aplikasi  negara terap sistem kilafah pilih</t>
  </si>
  <si>
    <t>ya  kerjasama brad jones racing supercars indigenous round kemarin</t>
  </si>
  <si>
    <t xml:space="preserve">hii daftar yg </t>
  </si>
  <si>
    <t>bidji  dah uninstall linkaja</t>
  </si>
  <si>
    <t>askrl skrng ngisi bensin kudu pke app  kh nnti sistimnya kaya gmna deh nih hp udahan gamuat kapasitas lg wkwk</t>
  </si>
  <si>
    <t xml:space="preserve"> ep bor sumur papua barat</t>
  </si>
  <si>
    <t xml:space="preserve">pacar tahun engga jamin duduk kursi </t>
  </si>
  <si>
    <t>konsekwensi investor spbu tanam modal spbu  bakar spbu gara gara cari untung</t>
  </si>
  <si>
    <t>konsekwensi investor spbu tanam modal spbu  bakar spbu gara gara cari untung bareng</t>
  </si>
  <si>
    <t xml:space="preserve">perintah baik hierarki bumn salah satu tempat erick menteri bumn ahok komisaris utama pt </t>
  </si>
  <si>
    <t>gue abis  nyebrang nunggu angkut henti gue</t>
  </si>
  <si>
    <t>udahlah dr kantor reimburse by bbm susah  nya jg nambah nyusahin nota print out tambah lg tugas ku isi bbm buka hp nunjukin aplikasi</t>
  </si>
  <si>
    <t>trus nasib dagang ecer beli gimana trus yg rumah pelosok  gimana ruwet</t>
  </si>
  <si>
    <t>klo pke aplikasi mudah masyarakat sen via apk  sedia kurir bayar cod</t>
  </si>
  <si>
    <t>isi bensin  ya antri banget inget bensin langka solar jawa</t>
  </si>
  <si>
    <t xml:space="preserve"> tqmbal ban motor susah beli solar udah bawa surat desa kasih</t>
  </si>
  <si>
    <t xml:space="preserve">ciri usaha bangkrut bikin bijak yg aneh contoh </t>
  </si>
  <si>
    <t>ini  jalan uji coba salur bbm subsidi sasar masyarakat yg hak daftar guys maksud sesuai salur guys ga tuh yg mobil mewah subsidi adil</t>
  </si>
  <si>
    <t>stok bbm  kondisi</t>
  </si>
  <si>
    <t>oalaahhhhhh unnie kalo ngajak makan bawa bawa karung dandan masuk karung biar cantip wkwkwkkwkw yg ketua unnie udah gapapa yg ramah tamah kayak tugas  nda gemesinnn cewek misterius</t>
  </si>
  <si>
    <t>teori fire triangle sdh tdk laku  basic knowledge laksana basic safety training yg laksana  maritime center</t>
  </si>
  <si>
    <t>edustaff univ  semangatt yaa moga lulus yaa gabutuh semangat butuh selamat</t>
  </si>
  <si>
    <t>jual harga pasar lo demo  rugi subsidi lo ribut lo sih</t>
  </si>
  <si>
    <t xml:space="preserve"> patra niaga uji coba layan beli pertalite solar guna daftar</t>
  </si>
  <si>
    <t>ahok angkat komisaris  alumni gatal gatal klau ahok president modiar</t>
  </si>
  <si>
    <t>bahas kapolresta denpasar audensi pt  cabang denpasar</t>
  </si>
  <si>
    <t>smart action dr perintah counter measure yg byk negara masyarakat jg hrs paham amp batas emisi alih angktan klopun yg tdk hp sy ga byk amp  case by case policy</t>
  </si>
  <si>
    <t>halo dirut  tolong saldo cuman rp</t>
  </si>
  <si>
    <t xml:space="preserve"> larang main hp tolol</t>
  </si>
  <si>
    <t>program pasang rfid beli premium  bikin macet orang antre</t>
  </si>
  <si>
    <t xml:space="preserve"> patra niaga sub holding commercial amp trading pt  persero uji coba layan jual pe</t>
  </si>
  <si>
    <t xml:space="preserve"> larang coustumer aktif hp pasuk spbu harus pakai aplikasi perintah kadrung spbu</t>
  </si>
  <si>
    <t>negeri motor isi air jalan biar gak nyusahin  yuuk doa biar gak ruwet</t>
  </si>
  <si>
    <t>hp min biar instal afk  beli pertalait udh penuh memori</t>
  </si>
  <si>
    <t>pt  juli laku uji coba salur pertalite solar guna hak daftar sistem</t>
  </si>
  <si>
    <t>alam sutera spbu  yg konsep self service bayar ngisi awas ban</t>
  </si>
  <si>
    <t>aneh indonesia urus orang orang yg tolol main hp alias buka aplikasi  bohong hp aktif spbu</t>
  </si>
  <si>
    <t>alam sutera spbu  yg konsep self service bayar ngisi awas bantu personil yg jaga yg orang utk jaga sistem org it not that bad if done with supervision</t>
  </si>
  <si>
    <t>pasti  baik kait uji coba produk kembang</t>
  </si>
  <si>
    <t>prank  larang hp spbu wkwkwk</t>
  </si>
  <si>
    <t>kemarin pake apps ndak diladenin lho bbrp spbu  yg pakai apps yg self service alias langgan suruh ngisi bahan bakar</t>
  </si>
  <si>
    <t xml:space="preserve"> indonesia kabupaten nggak angkot nggak nanggung jual pertalite jual pertamax  langsung untung</t>
  </si>
  <si>
    <t>ntar spbu  ledak jamaah gimana</t>
  </si>
  <si>
    <t>bang mending klo kepung dpr mpr dah tuh  bikin atur ugal ugalan naikin harga enak jidad orang main bola</t>
  </si>
  <si>
    <t>ga heran si len btw napa reog  deh</t>
  </si>
  <si>
    <t>mohon jenderal atr penagkapan kpd oknum karyawan pt  yg bawa surat dirut pt  yg pensiun muhamad husen yg dijafikan dasar pagar eksekusi foto oranf nya jenderal atr</t>
  </si>
  <si>
    <t xml:space="preserve">kak nini the real reog </t>
  </si>
  <si>
    <t>payment pake link aja tangki suruh pake apps  mending lu benerin tuh biar transaskinya pake debit ga pake minimal isi motor minimal isi luber luber bego emg udah bener shell dah satsetsatset</t>
  </si>
  <si>
    <t>kalo pertalite pertamax kek mas deh bensin oktannya aja yg beda ga si kaya mobil gt kadang kalo gaada  dex make de gitu</t>
  </si>
  <si>
    <t>ikhtiar  yg ane gak bawa jerigen beli bahan bakar udah hasil no pol utk batas ulang isi yg tu udh yg ngakalin modifikasi tangki bensin kendara yg bikin kang bensin diem aja bisa</t>
  </si>
  <si>
    <t>kepul tuh yg tangkap tahu yg gk tangkap tahu yg gak tangkap tahu  yg distribusi selesai gak dah tu ikhtiar yg coba</t>
  </si>
  <si>
    <t>jenderal atr tangkap oknum karyawan pt  legal aset sdm amp periksa jenderal atr angota tni kodim sukabumi yg jaga pagar beton atas tanah bekas pt pas</t>
  </si>
  <si>
    <t>rakyat tindas rejim beli migor hrs pake ktp aplikasi peduli lindung beli bbm pake aplikasi dr  klu sejahtera rakyat sengsara rakyat dgn atur ukraina unfaedah</t>
  </si>
  <si>
    <t>semalem bahas  mulu emang random banget orang</t>
  </si>
  <si>
    <t>jendral atr tanah yg klim oknum karyawan pt  pusat pagar beton angota tni kodim sukabumi yg tau tanah periksa irjen dep dagri pd tgl agustus tgl september lapor kpd gub</t>
  </si>
  <si>
    <t xml:space="preserve"> rugi rp trillun petronas untung rp trilliun harga bbm malaysia mur</t>
  </si>
  <si>
    <t xml:space="preserve"> patra niaga sub holding commercial amp trading pt  persero uji coba layan jual pertalite solar guna daftar</t>
  </si>
  <si>
    <t>pantesan  teu maju beak korupsieun hayang neang untung tinu aplikasi meuli nanaon ge ku duit ku aplikasi cik ku  mun teu boga kuota hp boga duit na moal meuli pertalite bijak koclak</t>
  </si>
  <si>
    <t>mas beli pertalite pake mobil dinas kantor keluar tua mas  bentar awas udah ntr tanggung mobil tua suruh nenggak minum pertamax ajegile</t>
  </si>
  <si>
    <t>kerja bareng  aja gimana pasar kasih companynya profit wajib konsumen app gamau download deh user pesat iya kasih storytelling dukung cashless sis storytelling dukung tracking blabla</t>
  </si>
  <si>
    <t>kalo  ga nyalain hape yh</t>
  </si>
  <si>
    <t xml:space="preserve">anak tuhan sibuk ngurusin </t>
  </si>
  <si>
    <t xml:space="preserve">gw udah kartu debit pusing ga tuh bayar kartu adm bln pake mobile banking yg enak aja si males lempar duit revisi tolong kalo bijak pertalite  </t>
  </si>
  <si>
    <t xml:space="preserve"> wajib masyarakat beli bbm pertalite solar daftar cocok data juli cnnindonesia detiknetwork</t>
  </si>
  <si>
    <t>komisaris  yg jawb mgkn</t>
  </si>
  <si>
    <t xml:space="preserve"> may ngembangin pertashop ngahajar pertamini supir kencing mana aja pegawai pom kongkalikong beli pake jerigen yaa aja</t>
  </si>
  <si>
    <t>top haters  tuju cuit</t>
  </si>
  <si>
    <t>nitip tambah  sultan tajir belikan hape yak yg mentok cma wa amp tuiteran browser lhoo</t>
  </si>
  <si>
    <t xml:space="preserve">yg gue pikir pas liat berita pan gak blh main hape begimane sih </t>
  </si>
  <si>
    <t>pake vivo wkwkwk  opsi ga vivo</t>
  </si>
  <si>
    <t xml:space="preserve">iyo pom </t>
  </si>
  <si>
    <t xml:space="preserve">hangat ciumin truk </t>
  </si>
  <si>
    <t xml:space="preserve">daftar online isi </t>
  </si>
  <si>
    <t>ahhhh nama jilat liur malu kelas  tpi bacot tdk pegang</t>
  </si>
  <si>
    <t>ngisi  ptugasnya musik maen hp ngisi bensin dg aja</t>
  </si>
  <si>
    <t>yg sy bayang dalam ngerti instal appnya ngk ya bkn protes tpi prtimbangan bpk   rakyatmenuntutkeadilan</t>
  </si>
  <si>
    <t xml:space="preserve"> coba laku baik bbm subsidi sasar guna</t>
  </si>
  <si>
    <t xml:space="preserve">profil iman rachman direktur utama bei lenggang </t>
  </si>
  <si>
    <t xml:space="preserve">shell teknologi pompa beda dg </t>
  </si>
  <si>
    <t>konsumen yg ngisi bbm pertalite solar kalo gak dgn pompa isi area spbu tgl konsumen setia  wajib aktifin hp pakai aplikasi min toilet</t>
  </si>
  <si>
    <t>yg bilang suka atur inj aja akun boot loh twitter mbok yo mikir  yg hormat</t>
  </si>
  <si>
    <t>pdhl enak ngasih duit mbak  nya trs diarahin tank no berapaa suruh isi deh jd alam fyi megang semprot berat tsay</t>
  </si>
  <si>
    <t>hpnya feature phone isi  gimana cerita</t>
  </si>
  <si>
    <t xml:space="preserve">duh minyak mentah tumpah area pantai dermaga cilacap jelas  cilacap dermaga dpchnsihimpunannelayanseluruhindonesia headlinenews kelurahantambakreja kilangminyak nelayancilacap pantaicilacap perahupenyeberangan </t>
  </si>
  <si>
    <t>spbu non  jd gampang pantau mutu konsumen shg karyawannya man istirahat</t>
  </si>
  <si>
    <t xml:space="preserve">bangsat beli bensin pake aplikasi yg pertalite solar gaboleh maen hp kalo isi bensin bagus bgt ide nya </t>
  </si>
  <si>
    <t>sebentar  laku uji coba beli pertalite solar data daftar ayo tinggal</t>
  </si>
  <si>
    <t>rokok  ya jarak meter tankki</t>
  </si>
  <si>
    <t xml:space="preserve">iya tuh </t>
  </si>
  <si>
    <t>this coba bos bos  main jawa hari minggu deh rasain indonesia jawa sentris jawa sulit</t>
  </si>
  <si>
    <t>moga manfaat hp android larang spbu  silah berselfie ria</t>
  </si>
  <si>
    <t>moga manfaat hp android larang spbu  silah berselfie ria ga normal ni rezimulator jokowi plus pdip</t>
  </si>
  <si>
    <t xml:space="preserve">beli bbm nominal ganjil hindar curang spbu informasi hoaks lengkap hoaks jalahoaks jakarta bbm spbu pertalite </t>
  </si>
  <si>
    <t>tolak keras beli bbm pakai aplikasi apa repot susah ngg nilai positif masyarakat  spt kerja</t>
  </si>
  <si>
    <t xml:space="preserve">no pdt pn vibadak halaman kwitansi pembebasab tanah olah olah tanah milik bebas ter gugat ii pemda kab sukanumi bangun lapamgan udara pt pelita air service pt </t>
  </si>
  <si>
    <t xml:space="preserve"> dilema atur dr pempus</t>
  </si>
  <si>
    <t xml:space="preserve"> laku uji coba beli solar pertalite masyarakat daftar ayo daftar kendara</t>
  </si>
  <si>
    <t xml:space="preserve">untung gua gak kerja </t>
  </si>
  <si>
    <t>pagi yg ukraina tolong pesan  kab tegal khusus spbu pantura lingkar propinsi solar tambah kl spy utk gaji kary</t>
  </si>
  <si>
    <t>kmrn ak baca flyer kalo beli pake aplikasi  gimana tuh</t>
  </si>
  <si>
    <t>guna pertalite solar daftar  bbm subsidi sasar lengkapcepatberitanya uang ekonomi ekonomi ekonomiindonesia</t>
  </si>
  <si>
    <t>gk pake hp spbu orang yg sdh bayar bensin manggunakan aplikasi via hp  spbu asing aman guna isi bensin aman</t>
  </si>
  <si>
    <t>jendral menteri atr laku periksa lokasi tanah milik palabuhanratu kab sukabumi yg klim oknum karyawan pt  pusat dg kwitansi bebas tanah pd tgl yg catat dlm putus pn cibadak no</t>
  </si>
  <si>
    <t xml:space="preserve">gak logic nungging </t>
  </si>
  <si>
    <t xml:space="preserve"> have personality issues</t>
  </si>
  <si>
    <t>rekrut sarjana bisa  udh ingat hancur ya contoh nya ngisi pake app brefing hp tinggal dll ehh atur sndr langgar sndr</t>
  </si>
  <si>
    <t>aplikasi  aplikasi peduli lindung</t>
  </si>
  <si>
    <t xml:space="preserve"> pasti beli pertalite solar subsidi pakai aplikasi laku</t>
  </si>
  <si>
    <t xml:space="preserve">tumpah minyak mentah sebar air areal cilacap duga tanker </t>
  </si>
  <si>
    <t>ngapain beli  daftar anjer tu ato gatau main gadget keburu abis bensin jalan daftar hp dlu</t>
  </si>
  <si>
    <t>kisah nasihat suami profesi dapet suamiyg proyek banyaak  kepo</t>
  </si>
  <si>
    <t xml:space="preserve"> kelass</t>
  </si>
  <si>
    <t>isi pertalite solar pake aplikasi biar subsidi arah  nya rugi</t>
  </si>
  <si>
    <t>sekian transaksi  lho yg pake aplikasi hp kayak sektor yg bikin ginian</t>
  </si>
  <si>
    <t>alas  atur beli bbm subsidi</t>
  </si>
  <si>
    <t xml:space="preserve">tebakanasik hadir nih sob yuk temu produk </t>
  </si>
  <si>
    <t>kerjo  mbak</t>
  </si>
  <si>
    <t xml:space="preserve"> terap esg operasi kilang minyak solusiuntukmembangunri</t>
  </si>
  <si>
    <t>gw duga ant  dg milik aplikasi kerjasama nguntungin nya langgan pls sedot unt aplikasi beli bbm kasi angkot angkut lai bolak isi bbm sdh brp pls sedot sian rkyt negara ngakalin rkytnya pjk byr hajar lg yg ginian</t>
  </si>
  <si>
    <t>tangkap opini solusi mas bijak buah simalakama pilih mudah beli batas bbm subsidi sasar dua deh jempol  amp perintah</t>
  </si>
  <si>
    <t xml:space="preserve"> patra niaga uji coba layan pertalite solar guna daftar</t>
  </si>
  <si>
    <t>bpjs nduwe app dewe pedulilindungi pis  pis sim yo nduwe dewe foto aplikasi hapus</t>
  </si>
  <si>
    <t>main hape area  kah</t>
  </si>
  <si>
    <t xml:space="preserve"> polisi goalnya tuju pertalite sasar pasang cctv spbu khusus kendara pakai mobil bagus ngisi pertalite tilang booming tilang kamera nih</t>
  </si>
  <si>
    <t>lihat layan kualitas bensin mudah bayar bensin bensin  bosok std bensin dunia min euro vi prof</t>
  </si>
  <si>
    <t xml:space="preserve"> rugi bos ngga dengar usul pakar minyak</t>
  </si>
  <si>
    <t>followers mincot yg tau real tipu tipu konteks rekrutmen  re upload tdi lupa sensor email</t>
  </si>
  <si>
    <t xml:space="preserve">anda  ngak diprotect perintah izin bensin pertamax std harga minyak dunia jamin bensin non  laris saking kesal layan  banding shell bp vivo pom mini mobil ambil yg non </t>
  </si>
  <si>
    <t>ubah sulit terima yg sdh nyaman pakai pertalite pakai aplikasi dekat angka dian stok bbm konsisten tdk  dgn sistem gas melon aja amburadul urus</t>
  </si>
  <si>
    <t>keren banget  ini hasil masuk top strongest oil amp gas brand lohh</t>
  </si>
  <si>
    <t>percaya  rugi naik gaji pegawai  teriak rugi salah masyarakat naik harga bbm</t>
  </si>
  <si>
    <t xml:space="preserve"> pandang kuat  manfaat fungsional emosional langgan</t>
  </si>
  <si>
    <t>selamat  baik fokus usaha maksimal optimal</t>
  </si>
  <si>
    <t>bagus nerima bli ndak kayak  beli bensin ribu aja tolak</t>
  </si>
  <si>
    <t>uji coba layan guna daftar  patra niaga energytoday</t>
  </si>
  <si>
    <t>rugi  pakai aplikasi kah konsumen bbm beli pom bbm</t>
  </si>
  <si>
    <t>jogja yg support aplikasi spbu coco company owned company operates milik  nya klo jarak rumah yg dekat spbu coco tp ga muncul daftar</t>
  </si>
  <si>
    <t>selamat  hasil masuk top strongest oil amp gas brand</t>
  </si>
  <si>
    <t>mudah  bukti hasil baik</t>
  </si>
  <si>
    <t>sadar anak  lantai cakep rapi banget wkwkwk</t>
  </si>
  <si>
    <t>bangga capai hasil raih  maju  depan</t>
  </si>
  <si>
    <t>jeren banget yaah  hasil raih brand strength index bsi lohh</t>
  </si>
  <si>
    <t>rugi  pakai aplikasi kah</t>
  </si>
  <si>
    <t>laku baik percaya  baik sisi</t>
  </si>
  <si>
    <t xml:space="preserve">sadar bumn isi ngga kompeten praktisi amat ngerti minyak musuh lawan hadeuh pikir bantu </t>
  </si>
  <si>
    <t>motor jebluk  yg ganti lho ya</t>
  </si>
  <si>
    <t xml:space="preserve"> toreh prestasi bangga kali hasil raih worl strongest oil amp gas brands</t>
  </si>
  <si>
    <t xml:space="preserve"> hasil raih peringkat versi brand finance top strongest oil amp gas brand</t>
  </si>
  <si>
    <t>sing untung byk pjbt  nya bro</t>
  </si>
  <si>
    <t>negara dlm  tanggung penuh ya</t>
  </si>
  <si>
    <t>om catat  untung gak</t>
  </si>
  <si>
    <t>mngkin bgini cakap pr petinggi  gmn yh biar sasar ya kt bs pakai internet of things slah jembatan capai data terintgrasi dgn big data yg olah metadanya ai jdi kt pakai media app hp sj</t>
  </si>
  <si>
    <t>yg ga motor busway jaklingko kalo batavia daerah jg jaklingko kalo  untung ahok sdh menteri cuk</t>
  </si>
  <si>
    <t xml:space="preserve"> rugi bumn kerja kerja kerja rugi rugi rugi</t>
  </si>
  <si>
    <t xml:space="preserve">napi malu jabat dirut </t>
  </si>
  <si>
    <t>apas  fomo bgt ga serba digital brok</t>
  </si>
  <si>
    <t>tuh hindar jual bensin ecer ktanya mah jdi  tau data habis bensin</t>
  </si>
  <si>
    <t>gak fungsi sih tracking klo yg pergi udh hapal dg pakai utk  fungsi nya</t>
  </si>
  <si>
    <t>hak nggak motor gilir buruh umr butuh nggak hak untung  nya</t>
  </si>
  <si>
    <t>batas konsumsi bbm subsidi realisasi  imbau beli pertalite daftar juli htt</t>
  </si>
  <si>
    <t>tugas scan barcodenya pintu masuk  beli isi data aplikasi tinggal isi aja gitu konsep</t>
  </si>
  <si>
    <t>saat gak terima utbk  ulbi telkom purwokerto nhechaty</t>
  </si>
  <si>
    <t>yg nyuruh pakai app  tau gak iya salah prov kalimantan yg tikam perkara antri solar bngt hari nunggunya gak hbs pikir sih suruh pakai app supir dump truck dll dalam</t>
  </si>
  <si>
    <t>lu ambigu ga min  ga maenin handphone tp suru pake handphone beli bensin lucu ga si wkwk</t>
  </si>
  <si>
    <t>tata daftar konsumen solar subsidi pertalite  energytoday energytod</t>
  </si>
  <si>
    <t>udah nomer ktp alamat lengkap hobby urgensi  tau</t>
  </si>
  <si>
    <t>emg gajelas bang tuju td kolom komen utk track kendara ga plat dg kendara mah urus  user jg pinter ga bensin isi solar</t>
  </si>
  <si>
    <t>keren cokk  masuk strongest oil gas</t>
  </si>
  <si>
    <t>manfaat fungsional emosional langgan  masuk top strongest oil amp gas bra</t>
  </si>
  <si>
    <t xml:space="preserve"> patra niaga uji coba layan pertalite solar guna daftar  ene</t>
  </si>
  <si>
    <t>klo model bayar gin sih yg pom jg bs nyediain gaperlu pake aplikasi  kudu daftar blablabla fitur dr banking udh bs scan qr bayar digital apa</t>
  </si>
  <si>
    <t>umkm sukses gaet hotel hotel jateng diy temu bisnis rp  energytoday</t>
  </si>
  <si>
    <t>keren yaa  hasil capai brand rating aaa standar rating tinggi brand oil amp gas</t>
  </si>
  <si>
    <t xml:space="preserve"> laku sanksi tutup spbu spbu nakal  energytoday</t>
  </si>
  <si>
    <t>pdc raih harga csr kembang desa lanjut awards  energytoda</t>
  </si>
  <si>
    <t>kirim salam kasih tau umur hidup merdeka indonesia kali  bego nya atur cina sok nasionalis jago reak tai</t>
  </si>
  <si>
    <t>selamat  harap  depan bangga lagi</t>
  </si>
  <si>
    <t xml:space="preserve">beli pertalite daftar konsumen </t>
  </si>
  <si>
    <t xml:space="preserve">sangka  hasil capai brand rating aaa selamat  bangga </t>
  </si>
  <si>
    <t xml:space="preserve">yg ngibul poster </t>
  </si>
  <si>
    <t>sangka  hasil raih brand strength index bsi keren</t>
  </si>
  <si>
    <t>hebat  ini hasil raih peringkat versi brand finance top strongest oil amp gas brand</t>
  </si>
  <si>
    <t>niat atur salur bbm subsidi nggak  bikin sistem nge track layak beli bbm subsidi guna ktp fotokopi selfie daftar pinjol</t>
  </si>
  <si>
    <t>sobat  saksi ikut lomba giat kebumen internat</t>
  </si>
  <si>
    <t xml:space="preserve"> hasil raih top strongest oil amp gas brand tempat peringkat versi brand finance</t>
  </si>
  <si>
    <t>surveyor pltgu  akutuh kp sooonnnn ikutt dapet klien baiq tunggu yah frens</t>
  </si>
  <si>
    <t xml:space="preserve"> bikin bangga prestasi kerja</t>
  </si>
  <si>
    <t>beli minyak goreng pakai peduli lindung ktp ni pake ktp beli ngutang sih elah ribet dah beli  pakai aplikasi nih org org haha hihi beli korden branded ni gak sih mbah dukun suka rela nyantet muak</t>
  </si>
  <si>
    <t>brand  pandang kuat manfaat fungsional emosional langgan</t>
  </si>
  <si>
    <t>juli  patra niaga laku ujicobanya</t>
  </si>
  <si>
    <t>masyarakat indonesia bangga  laku baik depan</t>
  </si>
  <si>
    <t>keren yaa  hasil masuk top strongest oil amp gas brand peringkat versi brand finance</t>
  </si>
  <si>
    <t xml:space="preserve">jelang isi bensin pakai apps </t>
  </si>
  <si>
    <t>capai hasil raih  moga depan</t>
  </si>
  <si>
    <t>sedih negara kelola amatir an sembarang  logis bahaya tdk kondisi rakyat tolak masyarakat diam klo instansi bikin atur yg susah sak karepe dewe</t>
  </si>
  <si>
    <t xml:space="preserve"> strategi cegah bocor salur bbm subsidi solusiuntukmembangunri solusiuntukmembangunri</t>
  </si>
  <si>
    <t xml:space="preserve">menggagumkan </t>
  </si>
  <si>
    <t>kelas  tolong anak buah</t>
  </si>
  <si>
    <t>mba nya jgn samain bank sm  org bilang ribet ya salah satu ga efisien aja supir yg butuhkerja cepat udh tua hp nya ga support utk download apps</t>
  </si>
  <si>
    <t>pt  patra niaga buka proses daftar beli bbm jenis pertalite solar juli</t>
  </si>
  <si>
    <t>negara kesini sulit warga atur gak pikir pakai logika kemarin sandal jepit  besok miris lihat perintah kesini rakyat susah</t>
  </si>
  <si>
    <t xml:space="preserve"> upaya layan baik masyarakat langgan</t>
  </si>
  <si>
    <t>komitmen konsistensi  yg baik salut</t>
  </si>
  <si>
    <t xml:space="preserve">bbm subsidi sasar semangat </t>
  </si>
  <si>
    <t>pt  atur beli pertalite solar masyarakat beli bahan bakar subsidi wa</t>
  </si>
  <si>
    <t>lipi suruh hadap mbak dian hapsari unit manager comunication amp csr nya  biar debat deh bener biar gak maen api ehh</t>
  </si>
  <si>
    <t xml:space="preserve"> komutnya taik luh</t>
  </si>
  <si>
    <t>kerja keras  dapat harga</t>
  </si>
  <si>
    <t xml:space="preserve">simak nih jelas </t>
  </si>
  <si>
    <t xml:space="preserve"> serius salur bbm subsidi sasar</t>
  </si>
  <si>
    <t xml:space="preserve">minum bbm subsidi mesti pake aplikasi wajar sasar yg subsidi golong sultan jalan dgn komsisten angkat jempol </t>
  </si>
  <si>
    <t>usah hijau  andal ebt solusiuntukmembangunri solusiuntukmembangunri</t>
  </si>
  <si>
    <t>pagi undang  training amp consulting bicara bagi mindfulness be aware of our for ourself and the environment mohon doa amp supportnya ya teman teman terima kasih</t>
  </si>
  <si>
    <t>bangga  prestasi</t>
  </si>
  <si>
    <t>kapolresta denpasar audensi pt  cabang denpasar</t>
  </si>
  <si>
    <t xml:space="preserve"> terap esg pengoprasian kilang minyak solusiuntukmembangunri</t>
  </si>
  <si>
    <t xml:space="preserve"> manfaat aplikasi digital kontrol beli bbm subsidi</t>
  </si>
  <si>
    <t xml:space="preserve"> komitmen layan baik masyarakat</t>
  </si>
  <si>
    <t xml:space="preserve"> hak milik data masyarakat zaman gampang salur bbm sasar tinggal tentu jenis kendara yg pertalite pertamax yg solar yg de susah</t>
  </si>
  <si>
    <t>lahh mantan napi komisaris  lo diem</t>
  </si>
  <si>
    <t>sanda indonesia usaha jual bbm harga harga spbu  gak pake ribet</t>
  </si>
  <si>
    <t>liat twitter instagram yg protes bijak  data pribadi bel beda bank mandiri bri bni pln bpjs dll yg ngumpulin data pribadi guna jasa</t>
  </si>
  <si>
    <t>tek kim tuh jurasan cari kuliah susah gampang masuk  pns gampang tekkim yg magang qatar</t>
  </si>
  <si>
    <t xml:space="preserve"> terap esg operasi kilang minyak solusiuntukmembangunri solusiuntukmembangunri</t>
  </si>
  <si>
    <t xml:space="preserve"> andalakan ebt solusiuntukmembangunri</t>
  </si>
  <si>
    <t>terima kasih sobat semangat mari dukung umkm  maju sukses ya sob atria</t>
  </si>
  <si>
    <t xml:space="preserve">lakon aja biar ledak tu </t>
  </si>
  <si>
    <t>terima kasih dukung sobat mari dukung umkm  maju moga sukses lancar atria</t>
  </si>
  <si>
    <t xml:space="preserve"> manfaat layan prima langgan</t>
  </si>
  <si>
    <t>heran bijak ngadi ngadi bgini  buka hp ngisi bensin nyetor nyawaa</t>
  </si>
  <si>
    <t>strategi  salur bbm subsidi solusiuntukmembangunri</t>
  </si>
  <si>
    <t>slm ahok komut ancor mah  rugi ttan kpk akn riksa ahok kss korup ada lng yg rugi ttan yg isi bbm hp suruh matiin skrg mo beli bbm hrs aplikasi hp uteknya gak mikir kikmano klo yg beli org ndesa yg pny hp ntar bilang begog marah piye jal</t>
  </si>
  <si>
    <t xml:space="preserve">ucap nyata tai </t>
  </si>
  <si>
    <t>nunggu yg komen beli aj eh dah gitu outlet non  pd turun harga harga bbm dunia turun keren nih plot twist</t>
  </si>
  <si>
    <t xml:space="preserve">juli kalo beli pertalite via aplikasi </t>
  </si>
  <si>
    <t xml:space="preserve"> yg cocok bgt dipake aplikasi gw  yg self serfive antri panjang tetep cepet gak gantung orang klw aplikasi liter klik tinggal scan aja kek pake qris</t>
  </si>
  <si>
    <t xml:space="preserve">ga org tu paham teknologi org yg ud umur nyusahin bgt deh </t>
  </si>
  <si>
    <t xml:space="preserve"> baik masyarakat indonesia</t>
  </si>
  <si>
    <t>app sampah kelas  bikin app full bugs eh ga bikin deng nyomot sc team development nya leader developing nya ngontol parah apps nya bener mba ga daerah indonesia jangkau internet pakai smartphone  ngontol</t>
  </si>
  <si>
    <t>coba kasih aja kerja  bang biar gabisa nolak</t>
  </si>
  <si>
    <t>kalo tuju  masyarakat aplikasi utk isi bbm salah satu utk cegah kendara yg tdk taat pajak tdk dpt isi bbm spbu tuju</t>
  </si>
  <si>
    <t>halah yg curang kontrol isi minyak jarak aja ketemu spbu sok an pake app payment nya kek  udah beres aja</t>
  </si>
  <si>
    <t>app  tolong bang brando kumandang alias serang bintang playstore bocil mati</t>
  </si>
  <si>
    <t>kerja  hasil nya</t>
  </si>
  <si>
    <t>lha jaring internet aja remang rata bikin atur aneh kmrn ktnya yg bersih  eh tau suram</t>
  </si>
  <si>
    <t>barusan beli pertalite eh lupa beli pertamax si akang nya hari isi rb ltr skrg mah bs isi rb ltr trus tgl jul hrs pk aplikasi beli dg jarak trx hrs min posisi meter superrrr  pertalite</t>
  </si>
  <si>
    <t>bentuk gagal  kelola minyak negara masyarakat</t>
  </si>
  <si>
    <t>kalo spbu  kasih booth cashier kali ya</t>
  </si>
  <si>
    <t xml:space="preserve"> gimana rugi</t>
  </si>
  <si>
    <t xml:space="preserve"> upaya baik</t>
  </si>
  <si>
    <t xml:space="preserve"> gak pakek qris kemarin bayar link aja</t>
  </si>
  <si>
    <t>keren nih  maju</t>
  </si>
  <si>
    <t xml:space="preserve"> si ahok yg megang ya ckck</t>
  </si>
  <si>
    <t>bego banyak atur usaha jual bbm untung  rugi nggak mundur orang negeri</t>
  </si>
  <si>
    <t>cc kang bacot yg bilang  merem aja untung fakta skrg bunting</t>
  </si>
  <si>
    <t>ngeroko  bohong ngin ajah</t>
  </si>
  <si>
    <t>mulut jamban bicara jujur  jujur kagak maling dipublikasihkan</t>
  </si>
  <si>
    <t>mantap  sukses</t>
  </si>
  <si>
    <t>larang nyala hp pom bensin perintah  yg beli bensin juli nyalahin hp maksude opo</t>
  </si>
  <si>
    <t>pikir gimana masyarakat besar protes culture cancel langsung aja gitu ga beli  pindah vivo shell bp</t>
  </si>
  <si>
    <t xml:space="preserve"> irit korban masyarakat ribet nggak sabar paksa beli pertamax</t>
  </si>
  <si>
    <t>beli bensin pake aplikasi beli minyak goreng pake aplikasi kalo internet kaya korea mah gpp blm lg aplikasi ngebug rakyat susah bayar jd gabisa knp ga pake emoney khusus bumn aja sih bikin kartu  byr tgl tap selesai</t>
  </si>
  <si>
    <t>ledak bakar spbu banyak guna hp spbu petinggi  salah tuntut bijak</t>
  </si>
  <si>
    <t>hidup ahok merem aja  untung sayang melek</t>
  </si>
  <si>
    <t>beli aja kopetitornya  vivo beda tipis klo shell lbh mahal</t>
  </si>
  <si>
    <t>pantes  gak antiran pertalite emak nyuruh beli ecer</t>
  </si>
  <si>
    <t>pan komisaris nya tukang ngancurin  ajarin noh rakyat bodoh ntar ledak die salahin tuh kelola spbu gitu kalee ya wowik</t>
  </si>
  <si>
    <t>org kayak gin maju gimana negara pantas  gr ja khotbah</t>
  </si>
  <si>
    <t xml:space="preserve"> masuk usaha minyak kuat dunia</t>
  </si>
  <si>
    <t>maaf asmat ga yg pake  bahan bakar kendara</t>
  </si>
  <si>
    <t xml:space="preserve"> terap pengoprasian kilang minyak solusiuntukmembangunri</t>
  </si>
  <si>
    <t>alas nya pom  buka  mboje kakean birokrasi  sepi shell rame sayang  ambil atur</t>
  </si>
  <si>
    <t>pro kontra beli bbm subsidi pertalite solar aplikasi  laksana efektif sasar yuk ikut pollingelshinta</t>
  </si>
  <si>
    <t>dalam  mah pertamini tolol</t>
  </si>
  <si>
    <t>kirain doang yg maksain hrs pake app ina inu tyt bank sm skrg  ky gin wkwkkw</t>
  </si>
  <si>
    <t xml:space="preserve"> terap sistem esg operasi kilang minyak solusiuntukmembangunri</t>
  </si>
  <si>
    <t>bijak lanjut  terap esg operasi kilang minyak solusiuntukmembangunri</t>
  </si>
  <si>
    <t>aplikasi  hadir salur bbm sasar solusiuntukmembangunri</t>
  </si>
  <si>
    <t xml:space="preserve"> tetap esg dlam operasi kilang minyak solusiuntukmembangunri</t>
  </si>
  <si>
    <t>abang lg bal ngurus event  gapulang react story nya pake emot nang nginep patra suite libur sungguh ya santuy renang eh smlem adeknya dbeliin ya sebut satupersatu</t>
  </si>
  <si>
    <t xml:space="preserve"> terap esg operasi kilang minyak wilayah operasi usaha solusiuntukmembangunri</t>
  </si>
  <si>
    <t xml:space="preserve"> salah energi baharu ketesediannya turun konsumen tinggi hemat target tahun lebih batas maksimum</t>
  </si>
  <si>
    <t>pt  tetap esg kilang minyak solusiuntukmembangunri</t>
  </si>
  <si>
    <t>kbrnya  terap esg dlm operasi kilang minyak guys solusiuntukmembangunri</t>
  </si>
  <si>
    <t>tuh ya  tetap esg operasi kilang minyak solusiuntukmembangunri</t>
  </si>
  <si>
    <t>aplikasi  salah sasar salur bbnlm solusiuntukmembangunri</t>
  </si>
  <si>
    <t xml:space="preserve"> terap esg operasi kilang minyak yg laksana seluruh wilayah operasi usaha solusiuntukmembangunri</t>
  </si>
  <si>
    <t xml:space="preserve"> terap esg operasi kilang minyak solusiuntukmembangunri dgnvlckw</t>
  </si>
  <si>
    <t xml:space="preserve"> terap esg operasi kilang minyak maju indonesia solusiuntukmembangunri</t>
  </si>
  <si>
    <t>solusiuntukmembangunri  terap esge operasi kilang minyak</t>
  </si>
  <si>
    <t xml:space="preserve"> tetap esg operasi kilang minyak bijak lanjut lingkung pt kpi jajar direksi yg laksana wilayah operasi usaha solusiuntukmembangunri</t>
  </si>
  <si>
    <t xml:space="preserve"> terpkan esg operasi kilang minyak solusiuntukmembangunri</t>
  </si>
  <si>
    <t xml:space="preserve"> terap esg operasi kilang minyak laksana wilayah operasi usaha solusiuntukmembangunri</t>
  </si>
  <si>
    <t>good job ya  hasil terap esg operasi kilang minyak solusiuntukmembangunri</t>
  </si>
  <si>
    <t>kalo gitu  hapus tanda</t>
  </si>
  <si>
    <t xml:space="preserve">apresiasi </t>
  </si>
  <si>
    <t>pusing atur bijak  tular tai komutnya</t>
  </si>
  <si>
    <t>orang orang yg dalem  pinter pinter yaa pinter nyusahin</t>
  </si>
  <si>
    <t xml:space="preserve"> keren masuk</t>
  </si>
  <si>
    <t xml:space="preserve">semangat </t>
  </si>
  <si>
    <t xml:space="preserve">mon maap keluarga kabupaten bandung kampung ga pm bensin </t>
  </si>
  <si>
    <t xml:space="preserve">salut </t>
  </si>
  <si>
    <t xml:space="preserve">dukung </t>
  </si>
  <si>
    <t>gakpapa maen hp pom  video maen hp trus ledak  waaah bijak kadrun kadrun kadrun kadrun  btsintheseom islamophobia kasetcichp ashokgehlot</t>
  </si>
  <si>
    <t>dah ribet anj mana pake peduli lindung beli bengsin pake app  besok</t>
  </si>
  <si>
    <t>inti yg pake app orang pinter doang kalo orang awam ribu orang yg ngerti diitung pake jari orang pinter nya pilih pertamax  gak mikir arah ya</t>
  </si>
  <si>
    <t xml:space="preserve"> wajib beli pertalite solar daftar website juli</t>
  </si>
  <si>
    <t xml:space="preserve"> rugi uang negara triliun kpk periksa ahok</t>
  </si>
  <si>
    <t>ganggu kendala jaring buka apk butuh detik cash orang  pintar perintah kecuali kkn ya niat bijak</t>
  </si>
  <si>
    <t>kerja gila  dgn aturn psti akn antri panjng beli pertalite alas ngurangi subsidi tp rela liat org pd panas desak an blm lg yg ga tau mslh teknologi blm lg yg ga vaksin moga jd momen rnthnya rezim aamiin</t>
  </si>
  <si>
    <t xml:space="preserve">spbu bacin kudus kena sanksi </t>
  </si>
  <si>
    <t xml:space="preserve"> patra niaga laku uji coba beli solar subsidi pertalite guna daftar energytoday</t>
  </si>
  <si>
    <t>urus naik jual smartphone  gt mbak mbak good ponsel david gadgetin dedy jagat review mouldi</t>
  </si>
  <si>
    <t>m error review jelek bintang  be like baik aplikasi pake perintah rakyat wajib pake aplikasi</t>
  </si>
  <si>
    <t xml:space="preserve"> masuk top strongest oil amp gas brands apresiasi energytoday</t>
  </si>
  <si>
    <t>gw aja bingung si gw user pertamax yg udah pakai system yg serba online efektif udahlah gw simplenya bakar duit bikin kartu khusus  simple integrasi ktp</t>
  </si>
  <si>
    <t xml:space="preserve">lanjut </t>
  </si>
  <si>
    <t xml:space="preserve"> ribet emang pangkal gas aja musti bkin logbook hrus serta fc ktp beli entahla kek cek aja data</t>
  </si>
  <si>
    <t>biar si  gak rugi gak sih kmdn klaim hasil untung sekian persen taun besar sejarah  kmdn gak dibuatin meme julid deh aman ya ttd si hasil</t>
  </si>
  <si>
    <t>suruh menteri jabat  jaga spbu</t>
  </si>
  <si>
    <t>orang yg kerja di pinter bikin malu orang yg subsidi orang yg ngak pake gadget kenal aplikasi nggak habis paham</t>
  </si>
  <si>
    <t>prestasi bagus kerja  buah hasil energytoday</t>
  </si>
  <si>
    <t>detiknetwork daftar harga pertalite pertamax spbu  indonesia ht</t>
  </si>
  <si>
    <t>dasco  laku sosialisasi luas dalam via</t>
  </si>
  <si>
    <t xml:space="preserve"> keren masuk usaha minyak kuat</t>
  </si>
  <si>
    <t>ujicoba  patra niaga layan pertalite solar guna daftar energytoday</t>
  </si>
  <si>
    <t>pikir ikut kelola km migor harun mas asabri blbi garuda  dll</t>
  </si>
  <si>
    <t xml:space="preserve">pt  mor viii malu papua ungkap sebab antre kendara spbu kota kabupaten jayapura papua </t>
  </si>
  <si>
    <t>nggk salah tuh kah  rugi jdi setor nya darimana data lengkap dar tulis wacana</t>
  </si>
  <si>
    <t>capai bagus  kerja usaha maju kembang energytoday</t>
  </si>
  <si>
    <t xml:space="preserve"> patra niaga uji coba layan beli pertalite solar aplikasi</t>
  </si>
  <si>
    <t xml:space="preserve">selamat </t>
  </si>
  <si>
    <t>rencana guna aplikasi web  uji coba provinsi</t>
  </si>
  <si>
    <t xml:space="preserve">uji coba bangun aplikasi </t>
  </si>
  <si>
    <t>mantap  masuk usaha minyak kuat dunia</t>
  </si>
  <si>
    <t xml:space="preserve"> patra niaga uji coba layan pertalite solar aplikasi</t>
  </si>
  <si>
    <t>dek bahagia nggak pergi  pake apk hore ya</t>
  </si>
  <si>
    <t>shell pom yg warna ijo lupa nama gak ecer gak beli  kapok kalo</t>
  </si>
  <si>
    <t>juli besok insya allah aplikasi main  uji coba provinsi</t>
  </si>
  <si>
    <t xml:space="preserve"> salah usaha migas kuat dunia</t>
  </si>
  <si>
    <t xml:space="preserve">ramah kaum manula wasu </t>
  </si>
  <si>
    <t xml:space="preserve"> patra niaga ujicoba layan pertalite solar subsidi guna daftar energytoday</t>
  </si>
  <si>
    <t xml:space="preserve"> patra niaga uji coba salur bahan bakar minyak bbm subsidi sistem daftar online juli</t>
  </si>
  <si>
    <t>keren  hasil masuk top strongest oil amp gas brands energytoday</t>
  </si>
  <si>
    <t>sip bijak dukung kalo pake nik mantap perintah bijak lupa naekin jg harga biar  tdk rugi</t>
  </si>
  <si>
    <t>apps  gada yg install rangorang paksa install</t>
  </si>
  <si>
    <t>moga sukses ujicoba  patra niaga depan lancar energytoday</t>
  </si>
  <si>
    <t>yg tuh ribet yg proses registrasi kendara mewah plat merah konsumsi bahan bakar subsidi takut sistem  pe en es nulis wiraswasta kolom kerja gitu mah aja</t>
  </si>
  <si>
    <t>prestasi  masuk top strongest oil amp gas brands energytoday</t>
  </si>
  <si>
    <t>pensiun beli mobil bal pakai nama anak maklum ktp tangerang mobil pakai orang  bpk gak daftar beli pertalite nama data bpk beda dgn data mobil ah bener nyusahin moga gitu</t>
  </si>
  <si>
    <t>ujicoba layan beli pertalite solar subsidi guna daftar  patra niaga energytoday</t>
  </si>
  <si>
    <t xml:space="preserve">jaya </t>
  </si>
  <si>
    <t xml:space="preserve"> masuk daftar top strongest oil amp gas brands energytoday</t>
  </si>
  <si>
    <t xml:space="preserve"> patra niaga laku uji coba layan pertalite solar subsidi guna daftar energytoday</t>
  </si>
  <si>
    <t>alhamdulillah  masuk usaha migas kuat dunia</t>
  </si>
  <si>
    <t>mantap nih maju kembang bisnis  energytoday</t>
  </si>
  <si>
    <t>kaya nya nyata si mulut jamban bener ngurus  nya melek jd rugi</t>
  </si>
  <si>
    <t xml:space="preserve"> salah usaha tahan terjang pandemi covid</t>
  </si>
  <si>
    <t>guna aplikasi  maksimal distribusi bbm subsidi juli</t>
  </si>
  <si>
    <t>ya tinggal beli pertalite solar pakai  energytoday</t>
  </si>
  <si>
    <t>keren  masuk usaha minyak kuat dunia</t>
  </si>
  <si>
    <t>uji coba  enam daerah provinsi</t>
  </si>
  <si>
    <t>guna aplikasi  uji coba juli</t>
  </si>
  <si>
    <t>pro kontra beli bbm subsidi pertalite solar aplikasi  laksana efektif sasar komisiandaelshinta</t>
  </si>
  <si>
    <t xml:space="preserve"> hasil masuk usaha minyak besar</t>
  </si>
  <si>
    <t>ujicoba  patra niaga layan guna daftar energytoday</t>
  </si>
  <si>
    <t xml:space="preserve">dng </t>
  </si>
  <si>
    <t xml:space="preserve">diskusiinteraktifelshinta pro kontra beli bbm subsidi pertalite solar aplikasi </t>
  </si>
  <si>
    <t>bangga  masuk top strongest oil amp gas brands energytoday</t>
  </si>
  <si>
    <t xml:space="preserve"> tuh gencet masyarakat mulu coba dr tiada guna voucher subsidi yg asn gaji aja beli bensin</t>
  </si>
  <si>
    <t xml:space="preserve">tingkat subsidi sasar  uji coba layan pertalite solar guna daftar langkah nih good job </t>
  </si>
  <si>
    <t>tingkat subsidi sasar  uji coba layan pertalite solar guna daftar upaya yg bagus nih</t>
  </si>
  <si>
    <t>keren tingkat subsidi sasar  uji coba layan pertalite solar guna daftar</t>
  </si>
  <si>
    <t>minyak goreng gt peduli lindung minyak motor gt  minyak lintah gt kontol</t>
  </si>
  <si>
    <t>dgn tingkat subsidi sasar  uji coba layan pertalite solar guna daftar moga uji coba nya hasil</t>
  </si>
  <si>
    <t>tingkat subsidi sasar  uji coba layan pertalite solar guna daftar yuk dukung digitalisasi</t>
  </si>
  <si>
    <t>mantap tingkat subsidi sasar  uji coba layan pertalite solar guna daftar wajib banget dukung nih</t>
  </si>
  <si>
    <t>keren bgt deh tingkat subsidi sasar  uji coba layan pertalite solar guna daftar moga sasar</t>
  </si>
  <si>
    <t>tingkat subsidi sasar  uji coba layan pertalite solar guna daftar langkah yg bagus nih</t>
  </si>
  <si>
    <t>beli pertalite pakai aplikasi  berhp galon isi ulang mo uji layak negara</t>
  </si>
  <si>
    <t xml:space="preserve"> layak masuk</t>
  </si>
  <si>
    <t xml:space="preserve">beli minyak goreng dgn aplikasi lindung peduli rakyat bikin ribet bikin susah </t>
  </si>
  <si>
    <t>keren nih  masuk top strongest oil amp gas brabds energytoday</t>
  </si>
  <si>
    <t>yuk simak daftar daerah beli pertalite solar pakai  energytoday</t>
  </si>
  <si>
    <t>jual bensin botol gak tenar coba lihat  kwalahan join payfazz klik link</t>
  </si>
  <si>
    <t>jabat  gaji digit bijak hasil kaya gin doang yaa eug</t>
  </si>
  <si>
    <t>pt  persero batas beli bbm jenis pertalite solar juli</t>
  </si>
  <si>
    <t>mantap  masuk top strongest oil amp gas brands energytoday</t>
  </si>
  <si>
    <t>wakil ketua dpr sufmi dasco ahmad  sosialisasi luas beli pertalite wajib pakai ap</t>
  </si>
  <si>
    <t>kirain  nol</t>
  </si>
  <si>
    <t>hmm ente  kayak uji aplikasi minat guna aplikasi</t>
  </si>
  <si>
    <t>atur pake aplikasi pertalite  doang self service kaga pasti udah deh shell aja kalo kalo ngga yaudah sepeda aja</t>
  </si>
  <si>
    <t>kisah cinta mburem  truk tangki nya area blind spot jauh</t>
  </si>
  <si>
    <t xml:space="preserve">tindas tindas thd rakyat gulir rakyat korupsi </t>
  </si>
  <si>
    <t>ga  yg efisiensi sih</t>
  </si>
  <si>
    <t>sbmt fsb migas kasbi gelar aksi demonstrasi pt  fuel terminal tasikmalaya massa aksi</t>
  </si>
  <si>
    <t>ahok jual agama nama anak tuhan anak tuhan masuk  rugi</t>
  </si>
  <si>
    <t xml:space="preserve"> kak donor darah pakai aplikasi</t>
  </si>
  <si>
    <t>min coba turun lapang teriak cashless pas pom bensin  bilang cash az kakak</t>
  </si>
  <si>
    <t>oh bui komisaris pinter rugi  pinter koplak ya</t>
  </si>
  <si>
    <t>jual harga nomboki uang negara yg jual uang negara yg rugi negara yg jual untung negara klu nomboknya untung  negara rugi usaha untung</t>
  </si>
  <si>
    <t>mumpung rame  pertalit</t>
  </si>
  <si>
    <t>jadi tim audit dr  pengeceka</t>
  </si>
  <si>
    <t>kayak  ajaa</t>
  </si>
  <si>
    <t>yg hebat  pimpin mantan napi ente diem aja den</t>
  </si>
  <si>
    <t xml:space="preserve"> koplak slm komutnya ahok rugi ttan duga korup ada lng ttan kpk akn periksa ahok mdh an berani org isi bbm tugas spbu tegor kendara suruh matiin hp skrg beli bbm aplikasi telpon ntar bilang begog marah tp nyata piye jal</t>
  </si>
  <si>
    <t>ganti yg pilih ganda prayarat gt jakarta pilih ganti dg bumn  jateng</t>
  </si>
  <si>
    <t>inti bos emang  ngurusin kendara bodong cerdas dikit coment tdk lenceng dr topik</t>
  </si>
  <si>
    <t>yg kontrol barang subsidi perintah ya kn ga fungsi bph migas operator which is  jalan bph migas jalan</t>
  </si>
  <si>
    <t xml:space="preserve"> kerjasama dg provider tingkat pakai kuota pandemi ya duga sih yg megang negara ono pimpin ptmina deket</t>
  </si>
  <si>
    <t>tai tai tai bipanggarongaset  selagimasihmenjabat memanfaakankesempatan bipang kerukabisasetnegara bipang kerja merusaksaja</t>
  </si>
  <si>
    <t>untung dah jarang pake  kalo ga pepet</t>
  </si>
  <si>
    <t>beli  pake kartu gak terima tunai gak diberlakuin bikin bijak ngang ngong ngang ngong susah masyarakat mending rapat manfaat</t>
  </si>
  <si>
    <t>tau ihh  nyusahin orang aje gw pke motor trs bensinya pertalite hdhhh</t>
  </si>
  <si>
    <t xml:space="preserve"> patra niaga kuat infrastruktur sistem dukung program salur pertalite solar sasar</t>
  </si>
  <si>
    <t xml:space="preserve">juara </t>
  </si>
  <si>
    <t xml:space="preserve">moga program jalan lancar ya </t>
  </si>
  <si>
    <t xml:space="preserve"> nali konsumen pertalite solar depan acu program bijak kait subsidi</t>
  </si>
  <si>
    <t>henti henti  kerja</t>
  </si>
  <si>
    <t>mudah mudah program  lancar</t>
  </si>
  <si>
    <t xml:space="preserve">indonesia pandang dunia berkat </t>
  </si>
  <si>
    <t>coba sih tau bantu  awas bbm subsidi</t>
  </si>
  <si>
    <t xml:space="preserve"> banggan</t>
  </si>
  <si>
    <t xml:space="preserve"> moga konsisten baik masyarakat</t>
  </si>
  <si>
    <t>langkah maju  baik</t>
  </si>
  <si>
    <t xml:space="preserve"> juli radius meter aman cuman are you ready to</t>
  </si>
  <si>
    <t xml:space="preserve"> hasil capai brand rating aaa standar reting tinggi</t>
  </si>
  <si>
    <t xml:space="preserve"> hadir peduli butuh masyarakat</t>
  </si>
  <si>
    <t>terimakasih  baik</t>
  </si>
  <si>
    <t>bangga hasil  masuk top strongest oil amp gas brand</t>
  </si>
  <si>
    <t>moga  bantu masyarakat konsisten</t>
  </si>
  <si>
    <t>salah bentuk komitmen  baik</t>
  </si>
  <si>
    <t>bukti nyata kerja  bantu masyarakat</t>
  </si>
  <si>
    <t>alhamdulillah  maju</t>
  </si>
  <si>
    <t xml:space="preserve">tolol banget yg nyetak nya kerja </t>
  </si>
  <si>
    <t xml:space="preserve">bangga </t>
  </si>
  <si>
    <t>selamat ya  bukti nyata  banggan</t>
  </si>
  <si>
    <t xml:space="preserve">ga aktifin hp kalo </t>
  </si>
  <si>
    <t>selamat ya  bangga</t>
  </si>
  <si>
    <t>mantap banget nih  bangga</t>
  </si>
  <si>
    <t xml:space="preserve">trobosan </t>
  </si>
  <si>
    <t>maju ya  bangga</t>
  </si>
  <si>
    <t>moga  konsisten baik</t>
  </si>
  <si>
    <t xml:space="preserve"> bukti andal</t>
  </si>
  <si>
    <t>bangga nih  capai</t>
  </si>
  <si>
    <t xml:space="preserve">trobosan maju baik ya </t>
  </si>
  <si>
    <t>selamat  capai</t>
  </si>
  <si>
    <t>lancar  dukung</t>
  </si>
  <si>
    <t>bising kali kelen udah darurat gabut atur langgar doa yg baik  moga melek merem merem udah gak untung melek</t>
  </si>
  <si>
    <t>sukses  program program</t>
  </si>
  <si>
    <t>bikin atur akal an  nyusain rakyat</t>
  </si>
  <si>
    <t xml:space="preserve"> bangga kerja keras</t>
  </si>
  <si>
    <t>lol kemarin bete sm  ga bayar by card suruh install linkaja</t>
  </si>
  <si>
    <t xml:space="preserve">moga konsisten baik </t>
  </si>
  <si>
    <t>domisi jaksel kak rs muhammadiyah udh cari jg tp yg konfirmasi  pon pon tes pcr  estimasi biaya jg ibu gaada bpjs</t>
  </si>
  <si>
    <t xml:space="preserve">bangga banget nih </t>
  </si>
  <si>
    <t>bohong bilang ahok pahlawan  anggota dewan</t>
  </si>
  <si>
    <t>wujud nyata  indonesia maju</t>
  </si>
  <si>
    <t xml:space="preserve"> udah kontrol kuota isi solar tugas spbu pake handheld gitu masukin no tlp plat kendara</t>
  </si>
  <si>
    <t xml:space="preserve">masyarakat bangga </t>
  </si>
  <si>
    <t xml:space="preserve"> negara</t>
  </si>
  <si>
    <t>orang pecat dr komut  sok bijak ngawur nyusahin rakyat kpk</t>
  </si>
  <si>
    <t xml:space="preserve"> bumn energi besar indonesia komitmen penting negara</t>
  </si>
  <si>
    <t>jakarta kota kota gede mah enak  mana tempat gw jarak  ampe bas kilo gak jual ecer nang</t>
  </si>
  <si>
    <t>percaya sistem  baik</t>
  </si>
  <si>
    <t>moga  yg baik masyarakat</t>
  </si>
  <si>
    <t xml:space="preserve"> keluar bijak gk tuju salur pertalite solar sasar kota kabupaten terap uji coba beli bbm pakai aplikasi juli jd blm</t>
  </si>
  <si>
    <t xml:space="preserve">bangga kerja </t>
  </si>
  <si>
    <t>serah  baik</t>
  </si>
  <si>
    <t xml:space="preserve"> keras hasil maksimal</t>
  </si>
  <si>
    <t xml:space="preserve"> naikin downloader biar dapet untung google gimana ribet aman bgst</t>
  </si>
  <si>
    <t>masyarakat erti usaha  stabilitas bbm subsidi</t>
  </si>
  <si>
    <t>fi normal aj kalem desc brisik yah trnyata trus energiny kyk full trus  lu ya kdg jd antiasauihi km jlek</t>
  </si>
  <si>
    <t>berterimkasih  baik</t>
  </si>
  <si>
    <t xml:space="preserve"> jamin aman salur bbm subsidi sasar</t>
  </si>
  <si>
    <t>top banget usaha keras  bawa banyaksekali manfaat positif negeri</t>
  </si>
  <si>
    <t>orang  mikir ga kalo yg isi bensin yg uda sepuh ribetin pake</t>
  </si>
  <si>
    <t>lo udah gak terima  ngembangin app gak ngeles dah</t>
  </si>
  <si>
    <t>kerja  ragu nih</t>
  </si>
  <si>
    <t xml:space="preserve"> semangat baik masyarakat</t>
  </si>
  <si>
    <t xml:space="preserve">tolong respon tuntut buruh </t>
  </si>
  <si>
    <t>hasil  catat untung kurun</t>
  </si>
  <si>
    <t xml:space="preserve"> tolol sih emang pas isi bensin gak ngeluarin hp bikin atur kek tai</t>
  </si>
  <si>
    <t xml:space="preserve"> manfaat fungsional emosional langgan</t>
  </si>
  <si>
    <t xml:space="preserve"> usaha yg baik</t>
  </si>
  <si>
    <t xml:space="preserve"> masuk top strongest oil amp gas brand peringkat versi brand finace</t>
  </si>
  <si>
    <t>orang pecat dr komut  sok bijak ngawur nyusahin rakyat kpk sdh periksa ahok duga korupsi ada lng  ttan</t>
  </si>
  <si>
    <t xml:space="preserve">salut proyek rancang </t>
  </si>
  <si>
    <t>top banget  moga baik</t>
  </si>
  <si>
    <t xml:space="preserve"> tuntut spbe min</t>
  </si>
  <si>
    <t>upaya yg bagus nih  smoga jalan lancar</t>
  </si>
  <si>
    <t>pt  anak usaha pt  patra niaga rencana atur beli jenis bahan bakar minyak khusus</t>
  </si>
  <si>
    <t xml:space="preserve"> banget sih</t>
  </si>
  <si>
    <t xml:space="preserve"> pikir butuh rakyat</t>
  </si>
  <si>
    <t>kasih kendor  baik</t>
  </si>
  <si>
    <t>beli minyak goreng pake peduli lindung beli bensin pake apk  sunguh marketing yg bagus</t>
  </si>
  <si>
    <t>bijak  baik masyarakat</t>
  </si>
  <si>
    <t>hati kaum jomblo truk bensin  sama mudah bakar</t>
  </si>
  <si>
    <t>solusi putus ambil  salur subsidi sasar</t>
  </si>
  <si>
    <t xml:space="preserve"> patra niaga masyarakat beli pertalite solar subsidi spbu juli</t>
  </si>
  <si>
    <t>klo bilang bijak  operator gk jauh main bijak perintah regulator bahaya masyarakat lantas hak bertanggungjawab ruwetnesia</t>
  </si>
  <si>
    <t>sepakat aneh nyamain bank ama  sasar aja beda</t>
  </si>
  <si>
    <t>gak kalang ngerti operasi app tsb kasi orang tua yg gak ngerti android ios dagang yg kendara bbm gak pake android survei udah nyampe dah  kaya banyak nonton merry riana deh</t>
  </si>
  <si>
    <t xml:space="preserve"> kek wkwk</t>
  </si>
  <si>
    <t xml:space="preserve">depan ya </t>
  </si>
  <si>
    <t>tingkat subsidi sasar  uji coba layan pertalite solar guna daftar keren banget  layan baik</t>
  </si>
  <si>
    <t xml:space="preserve"> kelola nista agama</t>
  </si>
  <si>
    <t>nih  usaha yg baik</t>
  </si>
  <si>
    <t xml:space="preserve">bangga nih kerja </t>
  </si>
  <si>
    <t>pindah ibukota ka sm aplikasi  yg sulit beli bensin solar pertalite</t>
  </si>
  <si>
    <t xml:space="preserve"> tolong bikin ribet rakyat yg beli bbm pertalite iya kudu daftar klo bensin mtr</t>
  </si>
  <si>
    <t>yg ribet nyokap gue hpx hp batu lok beli bengsin trus copet hp pake ngisi asug tur goblok itung an dipake  yg beli kes gk da crita ngutang pom truz yg rugi crtnya</t>
  </si>
  <si>
    <t>apresiasi  kait</t>
  </si>
  <si>
    <t>usaha keras  bbm subsidi masyarakat</t>
  </si>
  <si>
    <t>mantul nih  depan</t>
  </si>
  <si>
    <t xml:space="preserve">moga hasil uji coba terobos goodjob </t>
  </si>
  <si>
    <t>pasti  usaha baik masyarakat</t>
  </si>
  <si>
    <t>skrg udh pake pertamini pelosok truk  cmn dpt tamak jarang bagi oertalite</t>
  </si>
  <si>
    <t xml:space="preserve">cokcok pajek ku dianggarno gawe budget app </t>
  </si>
  <si>
    <t>maaf kak  laku self service aja ga suka tuh kak keeekk keeekkk kontol gitu bayar kasih layan suruh ngisi kadang scan barcodenya sulit bikin antri yg hrs pake app hp</t>
  </si>
  <si>
    <t>dukung proyek jalan  moga jalan lancar</t>
  </si>
  <si>
    <t xml:space="preserve">moga jalan lancar sukses ya </t>
  </si>
  <si>
    <t xml:space="preserve">kualitas bensin shell </t>
  </si>
  <si>
    <t xml:space="preserve"> banget sih kerja baik</t>
  </si>
  <si>
    <t>bank ranah pribadi mbak pegang kartu bank amp mudah administrasi bayar olshop barang dateng rumah kecuali  layan bbm anter rumah kendara senang prasangka</t>
  </si>
  <si>
    <t xml:space="preserve"> genjot guna proyek strategis banget</t>
  </si>
  <si>
    <t>trimah kasih  karnamu beli hape</t>
  </si>
  <si>
    <t xml:space="preserve">terimakasih informasi </t>
  </si>
  <si>
    <t>selamat  capai dapat</t>
  </si>
  <si>
    <t xml:space="preserve"> bukti eksistensi usaha aku dunia</t>
  </si>
  <si>
    <t>masarakat bayar kes gilir cuan  rugi ni yg goblok uang derutx</t>
  </si>
  <si>
    <t>diskusiinteraktifelshinta pro kontra beli bbm subsidi pertalite solar aplikasi  laksana efektif sasar live amat ekonomi internasional irwan ibrahim streaming</t>
  </si>
  <si>
    <t>koordinasi spbu  erick thohir dkk plus esdm paksa bijak aplikasi inti masyarakat diakomodir spbu  berselfie ria</t>
  </si>
  <si>
    <t xml:space="preserve">hape kentank bener dah cas nambah ngurang skrg mati kaga nyala ngecasnya dr kack brasa </t>
  </si>
  <si>
    <t>oh jd kmrn sempet join zoom meetingnya  emg kek ngebahas digitalisasi gitu kek terap shared service centre order to cash jd nnti by apps tp ganyangka aja ampe beli bengsing doang pake app pikir ama vendor kerja doang</t>
  </si>
  <si>
    <t>kalo subsidi yg sesuai target tuju kalo  jelas data beli subsidi</t>
  </si>
  <si>
    <t>jadi tim audit dr  kece medampingi org audit nya sy dimarahin karna sy bawa hp simpen saku dpn baju tp kondisi hp turn off mati bkn kunci layar monitor</t>
  </si>
  <si>
    <t>jumat juli  patra niaga uji coba beli bahan bakar minyak bbm pertalite</t>
  </si>
  <si>
    <t>hidup ahok ahok merem aja  untung sayang melek</t>
  </si>
  <si>
    <t>hp android larang spbu  tang erick thohir silah ber selfie ria</t>
  </si>
  <si>
    <t xml:space="preserve">wih </t>
  </si>
  <si>
    <t xml:space="preserve">mbak cocok deh komisaris  coba bismillah biar komisaris </t>
  </si>
  <si>
    <t xml:space="preserve">ndak perintah cw </t>
  </si>
  <si>
    <t xml:space="preserve">nih intrik intrik </t>
  </si>
  <si>
    <t>gua liat rame bener ya  tp liat twt td udh sempet baca jelas temen yg kerja  sih makesense dg alih digital tahap uji coba deh kota nama uji coba ya kl gagal dibenerin kl sukses</t>
  </si>
  <si>
    <t xml:space="preserve">lo bener banget tokoh pecah belah bangsa sibuk  untung nasdem dukung nya anis baswedan yg </t>
  </si>
  <si>
    <t>ga ngerti jg nih ama  bilang maju bilang keren si pake an</t>
  </si>
  <si>
    <t xml:space="preserve">cewe </t>
  </si>
  <si>
    <t xml:space="preserve"> pt  patra niaga data kendara roda roda terima bahan bakar minyak</t>
  </si>
  <si>
    <t xml:space="preserve">aneh ih salah planet kali </t>
  </si>
  <si>
    <t>audit internal pt  persero part here we go</t>
  </si>
  <si>
    <t>ktnya kl  gabole main hp hmm</t>
  </si>
  <si>
    <t>ne moga  udah pikir pompa isi yg smart tugas tinggal isiin nomor plat integrasi database kendara motor emg gak layak overlimit otomatis bbm ga pompa</t>
  </si>
  <si>
    <t>motornye juta keataas vario pego nmax peceex tolong tau dikit yaa pertalet  pake nyortir user gatau macem klen</t>
  </si>
  <si>
    <t>yak  bikin app pom nya guna</t>
  </si>
  <si>
    <t>pt  patra niaga subholding commercial amp trading pt  persero regional jawa barat uji coba beli bahan bakar minyak bbm subsidi aplikasi jawa barat</t>
  </si>
  <si>
    <t>tol kontol  asuuu</t>
  </si>
  <si>
    <t>ngumpulin pajak negara bikin prusahaan nama bumn telkomsel yg bikin internetan kenceng  yg bensin sana bikin motor hidup pdam bikin mandi rasa nikmat bayar dibisnisin</t>
  </si>
  <si>
    <t>jgn  legalinnya mak</t>
  </si>
  <si>
    <t>jd gin gara yg beli pertamax beli pertalite yg subsidi sasar yg beli pertamax beli pertalite nya dlm jmlh yg cm beli pertalite beli dlm jmlh dikit  tekor konsumen pertalite abis kuota bbm</t>
  </si>
  <si>
    <t>ributin app  untung anak shell</t>
  </si>
  <si>
    <t>kemaren magang telkom akses digitalisasi spbu pake flash hp langsung bongkar mesin pompa tangki dll aman aja dr  nya nyorotin pake tu hp wkwk</t>
  </si>
  <si>
    <t>jokowi luhut ahox  erick meneg bumn bilang orang gila yg hobby nya peras rakyat dgn harga yg roket di larang maen hp beli pertalite pakai daftar hp</t>
  </si>
  <si>
    <t xml:space="preserve">tingkat subsidi sasar  uji coba layan pertalite solar guna daftar good job </t>
  </si>
  <si>
    <t>tabiat kooperatif spbu  rasa jabat klhk</t>
  </si>
  <si>
    <t>masyarakat kalah  usaha yg monopoli pasar bidang bahan bakar kendara motor pilih otoritarians kapitalis putus</t>
  </si>
  <si>
    <t>tingkat subsidi sasar  uji coba layan pertalite solar guna daftar moga jalan lancar</t>
  </si>
  <si>
    <t>relate nemenin isi bensin pake app  gabisa dipake app nya pake app payment pake debit aja gak spbu sedia mesin edc kachawww</t>
  </si>
  <si>
    <t>mulia tukang bakso tukang jual pulau padan ligitan kapal tangker  indosat tukang garong duit bansos</t>
  </si>
  <si>
    <t>regulasi ubah rana jarak mesin hahahah kalo shell tap aplikasi nambah poin mesin kasir kalo  jarang orang turun kendara bisa wkwkwk</t>
  </si>
  <si>
    <t>ahok bacot yg ndak kerja bukti komut  tidur aja untung karerna bijak monopoli ahok komut rugi tanya mana lari untung yg kpk turun tangan pro aktif</t>
  </si>
  <si>
    <t>diskusiinteraktifelshinta pro kontra beli bbm subsidi pertalite solar aplikasi  laksana efektif sasar live amat energi reforminer institute khomaidi notonegoro streaming</t>
  </si>
  <si>
    <t>milenial jelasin ibu pakai hope guys are ready for the mental and emotional burden of repeating the information on and on and on and on again cheers guys and fuck need to buy quota before buying gasoline now  kntl bikin ribet aje lo babi</t>
  </si>
  <si>
    <t>tinggal pasang cctv aja spbu beres mah lagu aja gegayaan pk aplikasi yg doyan sogo  jd bikin ribet biar sok kerja pdhal siiihhhhhhh paham</t>
  </si>
  <si>
    <t>henti wacana beli bbm daftar aplikasi  baca ulas</t>
  </si>
  <si>
    <t>no offense but terima teknik minyak universitas  jalur nilai rapor actually sucks</t>
  </si>
  <si>
    <t xml:space="preserve">subcribe channel yutub </t>
  </si>
  <si>
    <t>bismillah terima bumn  yah udah masuk pts swasta zona uang org sukses</t>
  </si>
  <si>
    <t>senior analis  nanung karnasi panggil kpk korupsi lng</t>
  </si>
  <si>
    <t>ni bikin ide beli bbm pake apps  nyimeng begimana sih astagaaaa</t>
  </si>
  <si>
    <t>ras sakti sentuh hukum jual indosat jual skl blbi jual tanker  sipadan ligitan lenyap</t>
  </si>
  <si>
    <t>gin ya  jual aplikasi yg kagak laku</t>
  </si>
  <si>
    <t>download apk mantap mudah download apk  isi bensin ya ges ya</t>
  </si>
  <si>
    <t>dah pindah shell ajah yg ga pake  ruwet elah</t>
  </si>
  <si>
    <t>inti savedatarakyat  konyol untung pakai aplikasi</t>
  </si>
  <si>
    <t>nih bener banget sok ngide digital infrastruktur tunjang digitalisasi aja zonk alas  jg gak logis banget</t>
  </si>
  <si>
    <t xml:space="preserve">ingat download apk mantap mudah beli bensin pake apk </t>
  </si>
  <si>
    <t xml:space="preserve">oh strategi </t>
  </si>
  <si>
    <t>yg ku mention  usaha ga mgkin asal bikin bijak udah pikir lewat faktor resiko lapang mreka bener engga kemgkinan</t>
  </si>
  <si>
    <t>saran pertralite sasar kerja  kemendagri data yg hak gampang bijak tang yg gantung keras mang jabat</t>
  </si>
  <si>
    <t>bawah daftar daerah daerah layan uji coba beli solar subsidi pertalite aplikasi   energytoday energytodayid</t>
  </si>
  <si>
    <t>tolong perintah pimpin yg ide tolol idiot jamin buka hp  boleh meledaka rakyat bakar spbu saat buka aplikasi yg suruh edan edan</t>
  </si>
  <si>
    <t>kerja jajar  hasil bawa capai prestasi baik  energytoday energytodayid</t>
  </si>
  <si>
    <t>selamat  sukses raih peringkat worlds strongest oil and gas brands keren  energytoday energytodayid</t>
  </si>
  <si>
    <t>ya kalo gamau effort bikin akun yasudah pake pertamax kelar nasib yg ga melek teknologi gmna ya damping  mang bilang liat eksekusi mreka uji coba gimana gitu lho</t>
  </si>
  <si>
    <t>masyarakat hak pertalite solar subsidi sila daftar ikut tahap tentu  energytoday energytodayid</t>
  </si>
  <si>
    <t xml:space="preserve">maen hp ya kawasan spbu </t>
  </si>
  <si>
    <t xml:space="preserve"> pt  patra niaga uji coba layan jual pertalite solar konsumen masyarakat daftar  energytoday energytodayid</t>
  </si>
  <si>
    <t>raih peringkat worlds strongest oil and gas brands prestasi tahan tingkat  energytoday energytodayid</t>
  </si>
  <si>
    <t xml:space="preserve"> keren raih  energytoday energytodayid</t>
  </si>
  <si>
    <t xml:space="preserve"> kuat</t>
  </si>
  <si>
    <t>ratus buruh geruduk kompleks rumah jabat pt  sindonews bukanberitabiasa</t>
  </si>
  <si>
    <t>gambar tahap daftar guna konsumen solar subsidi pertalite  energytoday energytodayid</t>
  </si>
  <si>
    <t xml:space="preserve"> rugi tuntut perintah subsidi bbm mana nyata salah sasar org mobile apik tp tep do nganggo pertalite</t>
  </si>
  <si>
    <t>shell member yg pakai apk nya untung kumpul poin beli oli dll  jadi sarat beli nya gk dpt wkwkwkkwkwkkwwk</t>
  </si>
  <si>
    <t>bikim ginian mending  bikin bijak himbauan spbu bawah bayar nontunai deh kayak atm qris ewallet atm sih kota gede doang oke paham butuh internet minimal qris ewallet lahh</t>
  </si>
  <si>
    <t>congratulation sukses masuk peringkat worlds strongest oil and gas brands top  energytoday energytodayid</t>
  </si>
  <si>
    <t>proses daftar  langgan</t>
  </si>
  <si>
    <t>untung gw pake shell pake  boros wkwk</t>
  </si>
  <si>
    <t>capai prestasi baik raih kerja keras jajan   energytoday energytodayid</t>
  </si>
  <si>
    <t xml:space="preserve">terima harga </t>
  </si>
  <si>
    <t>tata daftar konsumen masyarakat hak solar subsidi pertalite  energytoday energytodayid</t>
  </si>
  <si>
    <t>pt  patra niaga uji coba layan jual bbm subsidi jenis pertalite solar konsumen guna daftar  energytoday energytodayid</t>
  </si>
  <si>
    <t>anjing  bangsat babi aimg deui meuli partalite teu hp aing wifi only ngentod</t>
  </si>
  <si>
    <t>selamat  hasil raih posisi worlds strongest oil and gas brands  energytoday energytodayid</t>
  </si>
  <si>
    <t>prestasi kagum bangga capai  masuk peringkat top worlds strongest oil and gas brand  energytoday energytodayid</t>
  </si>
  <si>
    <t>gua aneh liat  ngeluarin app wkwk</t>
  </si>
  <si>
    <t>isi bensin pake aplikasi  wkwkw kocak kali yaa kalo cashback gitu ayok isi bensin mu senin promo buy get promo cashback selasa amp laku hahaha</t>
  </si>
  <si>
    <t>manfaat fungsional emosional langgan  masuk top strongest oil amp gas brand peringkat versi brand finace</t>
  </si>
  <si>
    <t>udah coba  patra niaga layan jual surat subsidi pertalite konsumen daftar  energytoday energytodayid</t>
  </si>
  <si>
    <t>hasil kerja keras pantang merah buah hasil prestasi baik raih   energytoday energytodayid</t>
  </si>
  <si>
    <t>prestasi raih   energytoday energytodayid</t>
  </si>
  <si>
    <t xml:space="preserve">capai </t>
  </si>
  <si>
    <t>tata daftar konsumen solar subsidi pertalite  energytoday energytodayid</t>
  </si>
  <si>
    <t>depok aja spbu  yg gabisa bayar debit aneh bgt trs bisa transfer nomer rekening gitu ckckck</t>
  </si>
  <si>
    <t xml:space="preserve"> rugi bus transjakarta museum besi rongsok tanah cengkareng rs sw masalah tai tai tai loe</t>
  </si>
  <si>
    <t>dukung langkah pt  botanica uji coba layan jual pertalite solar guna konsumen daftar  energytoday energytodayid</t>
  </si>
  <si>
    <t xml:space="preserve">seng kadang ora nduwe kouta ndadak hostpot mas sek pas hostpot ono frekuensi jaring nyamber bledoss sak spbu mara ovt wae gur meh ngisi bensin taek ncen </t>
  </si>
  <si>
    <t>gak hape lowbat no kouta jgn jgn taktik  aplikasi gak laku</t>
  </si>
  <si>
    <t>main lo tong harga bbm ron malaysia rp indon yg lbh rendah aja ron jual  rp</t>
  </si>
  <si>
    <t>mu  tuju ya karan segi aspek jaring internet daerah dalam susah jaring wilayah inhu sungai akar</t>
  </si>
  <si>
    <t>urus cashless aja  bom rata itu spbu aja</t>
  </si>
  <si>
    <t>jurus buzzer pea gak jilat gak makan sakit hati ya junjung loe cm bs koar koar taik taik  jg rugi hahahaha loe pura bahagia tp merana</t>
  </si>
  <si>
    <t>ni mah kyknya alam pribadi deh ya kl level  perintah ga</t>
  </si>
  <si>
    <t xml:space="preserve">tutor pake aplikasi </t>
  </si>
  <si>
    <t>yaaa trs org yg gapunya hp gk ngerti mainin hp gmna blm  larang gk hp yaa aaaaaa serah dh</t>
  </si>
  <si>
    <t xml:space="preserve">juli gw pindah shell bye bye </t>
  </si>
  <si>
    <t>mantap selamat   energytoday energytodayid</t>
  </si>
  <si>
    <t>prestasi baik raih  kerja keras jajar tim  energytoday energytodayid</t>
  </si>
  <si>
    <t xml:space="preserve">anyink keren besok ubah </t>
  </si>
  <si>
    <t>tata daftar konsumen guna solar subsidi pertalite  energytoday energytodayid</t>
  </si>
  <si>
    <t>mari dukung  patra niaga uji coba layan jual pertalite solar subsidi guna daftar  energytoday energytodayid</t>
  </si>
  <si>
    <t xml:space="preserve">saham </t>
  </si>
  <si>
    <t>bangsa rakyat indonesia apresiasi prestasi   energytoday energytodayid</t>
  </si>
  <si>
    <t>lucu sih saat mesin edc aja bom  jakarta lol</t>
  </si>
  <si>
    <t>apresiasi prestasi raih  masuk peringkat top strongest oil and gas brand  energytoday energytodayid</t>
  </si>
  <si>
    <t>pln ngutang bulog ngutang ma  jg ma rumah sakit ngutang ma bumn jg ngutang gimana nih tri uang balik ngutang mana negara kaya sda nyungsepnya tangan mantan tukang mebel lulus kampus yg gelap</t>
  </si>
  <si>
    <t>buset sih nyusahin karna gak konsumen  anak muda yg melek aplikasi alias aki mamak rempong yg ngeyel ga adil amp panjang antri bbm</t>
  </si>
  <si>
    <t>tahap tahap daftar guna konsumen solar subsidi pertalite  energytoday energytodayid</t>
  </si>
  <si>
    <t>sasar oknum timbun bahan bakar subsidi batas rugi pt  rugi pt  capai nilai triliun butuh langka pemnatasan</t>
  </si>
  <si>
    <t>mending nih yaa lo baca lapor uang  dah asumsi ga dasar data</t>
  </si>
  <si>
    <t>pt  patra niaga buka proses daftar beli bbm jenis pertalite solar subsidi juli  energytoday energytodayid</t>
  </si>
  <si>
    <t>moga prestasi  tahan tingkat baik dunia  energytoday energytodayid</t>
  </si>
  <si>
    <t>dek bahagia nggak pergi  pake apk hore ya mumpung gublok bayar</t>
  </si>
  <si>
    <t>ga main hp pom bensin beli bensin suruh pakai  bingung gak</t>
  </si>
  <si>
    <t>gambar masyarakat tahap daftar konsumen solar subsidi bbm jenis pertalite  energytoday energytodayid</t>
  </si>
  <si>
    <t xml:space="preserve"> ajarin make app nya tuh tengah usia atas mana pake motor si praktis emang nih wacana</t>
  </si>
  <si>
    <t>this amazing capai   energytoday energytodayid</t>
  </si>
  <si>
    <t>ga sih temen yg super aneh tp temenin aneh bgt gue sampe bingung temen gue pake seragam  kantor doi kerja kantor</t>
  </si>
  <si>
    <t>urgent aplikasi tdk jalan rakyat panik resah pswrd otp jalan bgmn beli bensin  pertalite</t>
  </si>
  <si>
    <t>klimaks jam pulang kerjaa jam lihat yg down server  isi pertalite</t>
  </si>
  <si>
    <t xml:space="preserve"> patra niaga coba beri layan jual pertalite solar guna daftar  energytoday energytodayid</t>
  </si>
  <si>
    <t xml:space="preserve"> kena rujak udah kalo</t>
  </si>
  <si>
    <t xml:space="preserve"> bagus sosialisasi safety laku ujug ujug atur paham aman</t>
  </si>
  <si>
    <t>nya  koleb ama sopi biar bensin nya kredit pake sopipay leter</t>
  </si>
  <si>
    <t>ecer dijualin dalam yng gak cover pom  gak repot</t>
  </si>
  <si>
    <t>oh jungmo  jungmo pertamini</t>
  </si>
  <si>
    <t>ga wajib kalo ga beli spbu  yo larang suuuuu asu dompet ku yo demo</t>
  </si>
  <si>
    <t>iniloh jungmo   peace  maung</t>
  </si>
  <si>
    <t>kerja hebat  masuk peringkat world strongest oil and gas brand  energytoday energytodayid</t>
  </si>
  <si>
    <t>ledak bawa hp  wkwkwk</t>
  </si>
  <si>
    <t>ya tunggu depan moga promo dri  kayak voucher gratis isi voucher the best member gak ya voucher potong harga</t>
  </si>
  <si>
    <t>penguna bio solar mengunakan sistim biar mobil isi ulang kali yg dekat fakta lapang main miyak subsidi tugas  beli bdan jual industri</t>
  </si>
  <si>
    <t xml:space="preserve">serius ken jungmo </t>
  </si>
  <si>
    <t xml:space="preserve"> uji coba beli bbm subsidi aplikasi kota</t>
  </si>
  <si>
    <t>pt  patra niaga buka proses daftar beli bbm jenis pertalite solar juli  energytoday energytodayid</t>
  </si>
  <si>
    <t>mantap  hasil masuk top strongest oil and gas brand peringkat versi brand finance  energytoday energytodayid</t>
  </si>
  <si>
    <t>tata daftar konsumen solar subsidi pertalite tahap daftar guna  energytoday energytodayid</t>
  </si>
  <si>
    <t>kalo gitu gw beli  mini aja</t>
  </si>
  <si>
    <t>anda napi komisaris  istri muda napi</t>
  </si>
  <si>
    <t>satu kerja khusus laksana giat usaha hulu minyak gas bumi skk migas pt  ep cepu zona</t>
  </si>
  <si>
    <t xml:space="preserve"> gk buka hp trs gmn dah</t>
  </si>
  <si>
    <t>pt  patra niaga uji coba layan jual pertalite solar guna daftar  energytoday energytodayid</t>
  </si>
  <si>
    <t>rugi  anak usaha segmen subkontrak yg rugi anak usaha yg segmen jelasin kalo rugi profit rugi total nama segmen yg alami rugi gt profit</t>
  </si>
  <si>
    <t>udah apply  ga lulus dm erick thohir patut coba</t>
  </si>
  <si>
    <t xml:space="preserve">hemat rp triliun ragam pos jaga </t>
  </si>
  <si>
    <t xml:space="preserve">oh jengukin ibu trs gue jwb lg ya cm ngambil no antri bang trs au dah dgr kaga abis situ poko nanya lg rs nya yg deket  bkn trs gue bkn ya karna rs nya emg bkn deket </t>
  </si>
  <si>
    <t xml:space="preserve">datar  bright gas turun pertamax yuk ikut teman giveaway tebakanasik rjbt </t>
  </si>
  <si>
    <t>salah proyek besar it yg gua ikutin digitalisasi  diimplementasinyaa kalo proyeksi ngebantu ngurangin subsidi gede banget sih</t>
  </si>
  <si>
    <t>trus amit amit  ledak apa guna hp yg salahin</t>
  </si>
  <si>
    <t xml:space="preserve">support </t>
  </si>
  <si>
    <t>gak heboh tp males cari knp beli  amp solar hrs dftr website baca</t>
  </si>
  <si>
    <t xml:space="preserve">tolol bgt emang orang </t>
  </si>
  <si>
    <t xml:space="preserve"> hasil capai brand rating aaa</t>
  </si>
  <si>
    <t>ya gue bilang ngelenong aja  wkwkwkwk</t>
  </si>
  <si>
    <t>klo udh enak komut  kyai maruf wapres syaiton nya yg mampus yg sel ambyarr</t>
  </si>
  <si>
    <t>jalan tol udah pake mlff biar ga antri  bikin antri pomnya</t>
  </si>
  <si>
    <t>wow  the best</t>
  </si>
  <si>
    <t>mslhnya sokor tuh fenservisnya level dewa lu gk nyapa fens bentar aja kayak uda ngerampok kantor  ngebakar kantor polisi pusat laaa jadwal th padet slama mngkin jadwal fotosyut sndiri kondisi badan sakit pas psawt nmnya manusia jg</t>
  </si>
  <si>
    <t>sial pagi sakit perut lucu antri masuk wc  oebobo samp kaka nona kasi beta ko kasih masuk duluan malam cek saldo tabung uang hilang juta ni</t>
  </si>
  <si>
    <t xml:space="preserve"> hasil masuk top strongest oil amp gas brand mantap</t>
  </si>
  <si>
    <t xml:space="preserve">sakti ni komisaris yg bikin rugi betapa untung kau </t>
  </si>
  <si>
    <t>terima kasih sobat apresiasi mari dukung umkm  maju moga sukses tony</t>
  </si>
  <si>
    <t>bunuh ajar komplek pt  pangkal andan turut laku langsung pukul tangan keras arah tengkuk korban akibat korban pingsan urai akp bram candra</t>
  </si>
  <si>
    <t>umkm   besama umkm</t>
  </si>
  <si>
    <t>semenjak ahog jd komisaris  rugi triliun</t>
  </si>
  <si>
    <t>bentak abang  gapunya kuping</t>
  </si>
  <si>
    <t>akibat si tai pimpin  tai tai tai lu hok</t>
  </si>
  <si>
    <t>dasar informasi resmi laman  uji coba beli solar subsidi pertal</t>
  </si>
  <si>
    <t>iya udh log out bang udh hasil komisaris  gara argumen nya hehe</t>
  </si>
  <si>
    <t>bos  be like yg inovasi bodo lapang bgmn</t>
  </si>
  <si>
    <t>ngga daerah  salah strategi</t>
  </si>
  <si>
    <t xml:space="preserve"> kontol</t>
  </si>
  <si>
    <t>aplikasi  ga negara terap sistem kilafah pilih nai</t>
  </si>
  <si>
    <t>wih gitu  isi orang pilih akhlak amp kompeten plus thp fantastis</t>
  </si>
  <si>
    <t>menteri bumn maskapai terbang pelita air layan tumpang milenial anak usaha  beda segmen garuda bangkitbersamaet</t>
  </si>
  <si>
    <t xml:space="preserve">jm entertainment skrg rambah </t>
  </si>
  <si>
    <t>turun harga land cruiser hardtop mesin bensin full paper tax on selesai restorasi simpan garasi jarang pakai jack standan ex kolpri pegawai  idr jt nego keras lok cirebon wa</t>
  </si>
  <si>
    <t>terima kasih dukung  sobat mari dukung umkm  maju moga sukses lancar tony</t>
  </si>
  <si>
    <t xml:space="preserve">amin moga ledak kilang </t>
  </si>
  <si>
    <t xml:space="preserve">wtb jungmo </t>
  </si>
  <si>
    <t>kahirnya  pilih seprti solar pertalite tanggal sosialisasi daftar uji coba spbu upah tetep tp ganti wkwk</t>
  </si>
  <si>
    <t xml:space="preserve"> pom bensin rumah mepet sawah bayangin aja amak sawah bawa sabit pas isi bensin suruh aplikasi auto pagah praya</t>
  </si>
  <si>
    <t>manusia anti kuota moga  nyediano wifi opo tetering mas ya gpp</t>
  </si>
  <si>
    <t>love kampung wkwk  mas</t>
  </si>
  <si>
    <t>trs pake bikin  untung</t>
  </si>
  <si>
    <t>depo  plumpang ya kak</t>
  </si>
  <si>
    <t>menteri gerak bbrp usaha bumn pln  inalum kolaborasi bentuk perus</t>
  </si>
  <si>
    <t>dah gausa beli bensin  cok</t>
  </si>
  <si>
    <t>babi banget emng  bilang aja sengaja bikin ribet biar alih gimana bokap gue hp aja yg pencet beli hp touchcreen gitu duit lagi halaahh konttt</t>
  </si>
  <si>
    <t>bilang aja rakyat jelata gak beli pertalite amp giring beli pertamax untung  murni ken nyengsarakan rakyat</t>
  </si>
  <si>
    <t xml:space="preserve"> to compensate residents who help clean oil spill</t>
  </si>
  <si>
    <t>inget semester kuliah salah kompetisi  stuck masalah</t>
  </si>
  <si>
    <t>apresiasi dukung sobat  semangat terima kasih sobat tony</t>
  </si>
  <si>
    <t>gak heboh tp males cari knp beli  amp solar hrs dftr website baca alas seksama paham ya iya gak paham si</t>
  </si>
  <si>
    <t>kirain kalo pake internet doang gapapa yg gak sinyal telpon sms ya bayangin aja yg pake debit sm isi mandiri gak pake internet dah bener  pasang wifi</t>
  </si>
  <si>
    <t xml:space="preserve">ngomongin perintah ya kiai beli minyak goreng pakai peduli lindung beli pertalite pakai aplikasi </t>
  </si>
  <si>
    <t>manfaat fungsional emosional langgan  masuk top strongest oil amp gas brand peringkat versi brand finace  energytoday energytodayid</t>
  </si>
  <si>
    <t>gak masyarakat effort sampe ngulik website  baca artikel font harap maklum yg responnya milik khawatir perihal nik data data pribadi</t>
  </si>
  <si>
    <t xml:space="preserve"> patra niaga uji coba layan pertalite solar guna daftar  energytoday energytodayid</t>
  </si>
  <si>
    <t xml:space="preserve">pp aja biar donatur tetap </t>
  </si>
  <si>
    <t>pasti  prepare mgkin lahh mbak emang tau darimana kalo  udh prepare bukti sampean cenayang opo piye argumen mbak yg kes subjektif onok bukti seng</t>
  </si>
  <si>
    <t xml:space="preserve"> iki usaha ga mgkin ambil bijak bla bla bla lahh  usaha instansi tdk bikin bijak yg salah</t>
  </si>
  <si>
    <t>aja sesuai website resmi  plus tambah edukasi sosialisasi yg mudah jangkau masyarakat instagram tiktok masyarakat paham ya silah gaya kini mudah paham</t>
  </si>
  <si>
    <t>si a wkwk mbak ki kerja  kah slh orang ngerancang bijak kah mbak argumen akan  iki usaha sempurna ndek dunyo argumen kosong mbak ga bukti omong kyk politikus mbak</t>
  </si>
  <si>
    <t>satu kerja khusus laksana giat usaha hulu minyak gas bumi skk migas pt  ep cepu zona bor sumur minyak kabupaten sorong provinsi papua barat</t>
  </si>
  <si>
    <t>sayang level dirut  pikir bocah tk pikir tani nelayan erti dunia digital emang daerah kuat internet nya tau blm bahaya hp pom bensin</t>
  </si>
  <si>
    <t xml:space="preserve"> jual rugi</t>
  </si>
  <si>
    <t xml:space="preserve">tumpah minyak cemar sungai cilacap </t>
  </si>
  <si>
    <t>menrut artikel yg gw baca gk seribet daftar web yg ain  approve kasih qr code nni qr code yg dipake beli pertalite solar nya ya nnti hmpir kaya serti vaccine yg gw paham</t>
  </si>
  <si>
    <t>berak kencing  pake aplikasi keburu brodol tuh tokai</t>
  </si>
  <si>
    <t>dapet untung event apps haduh roket harga minyak kayak  gimana maseh</t>
  </si>
  <si>
    <t xml:space="preserve">menteri bumn maskapai terbang pelita air layan tumpang milenial anak usaha </t>
  </si>
  <si>
    <t>lanjut  program bagus banget</t>
  </si>
  <si>
    <t>bentar  jual spbu pln jual gardu</t>
  </si>
  <si>
    <t>minyak tumpah laut cilacap  selidik sebab</t>
  </si>
  <si>
    <t>mah pertamini pemda lu kek keong kali jg proker  bikin pom titik usaha minyak indo cmn  usaha minyak asing gk masuk indo</t>
  </si>
  <si>
    <t xml:space="preserve">duh miris  tolol sikap energi saing mobil listrik yg simpel rumit </t>
  </si>
  <si>
    <t>ektp jaman sby ngga aja discan tugas  data beli selesai urus</t>
  </si>
  <si>
    <t>bgst emang dah gaberes  lu ngarti kaga kalo tukang arit abis bensin bawa clurit hape ga org pegang hape android babi</t>
  </si>
  <si>
    <t>kalo buka lowong kerja  tetep daftar</t>
  </si>
  <si>
    <t>oh ya saham  tinggal</t>
  </si>
  <si>
    <t>kelas  aja tolol ya</t>
  </si>
  <si>
    <t>bilangin  yg wajib solat</t>
  </si>
  <si>
    <t>ga spbu pke ya min kmaren beli pertalite mw bayar pke  ga bisa cash</t>
  </si>
  <si>
    <t>aneh aneh aja ni laku  ken daftar bps</t>
  </si>
  <si>
    <t xml:space="preserve">ngumpulin orang yg nunggu spbu  ledak gegara maen eeh bayar pake hp </t>
  </si>
  <si>
    <t xml:space="preserve"> larang so  ngebolehin</t>
  </si>
  <si>
    <t>ngeprank  pake hp nokia</t>
  </si>
  <si>
    <t xml:space="preserve"> hadap dgn pertamini</t>
  </si>
  <si>
    <t>jaman tuntut sesuai kembang jaman jaman tuntut sesuai ada gaptek ya tugas  sosialisasi tetep susah ya beli pertamax ecer aja</t>
  </si>
  <si>
    <t xml:space="preserve">ya emang kah main hp </t>
  </si>
  <si>
    <t>riah kie  lubricants tebar promo spesial hadiah</t>
  </si>
  <si>
    <t>main daerah yg gada  gan biar paham main untung rugi anak smp paham selisih klo kali beda</t>
  </si>
  <si>
    <t xml:space="preserve"> bumn rusak rezim kardus rakyat merasrakyat rakyat merasrakyat</t>
  </si>
  <si>
    <t>gak klo dirut  main iya gak siih rakyat merasrakyat rakyat merasrakyat</t>
  </si>
  <si>
    <t>ya allah ken dadi pegawai  nya</t>
  </si>
  <si>
    <t>butuh pertalite solar hapenya ga support ginian  mikir nya gimana si</t>
  </si>
  <si>
    <t>aplikasi  ga negara terap sistem kilafah pilih onta kuda</t>
  </si>
  <si>
    <t>cecer minyak dermaga wijayakusuma  sebab selidik</t>
  </si>
  <si>
    <t>era disrupsi  balik disrupsi angel kebijakanruwet</t>
  </si>
  <si>
    <t xml:space="preserve">sempol si kekeh saham </t>
  </si>
  <si>
    <t xml:space="preserve">smart gmn </t>
  </si>
  <si>
    <t>pns wes harap gaji media berita artikel baca pegawai bumn  pln angkasa pura kai petrokimia semen indonesia antam ya ditertawain usaha kali gaji tahun</t>
  </si>
  <si>
    <t>serius min  nya sdmnya pakai qrcode bilang sistem error sdmnya kuasa</t>
  </si>
  <si>
    <t>petamini pertamax klo beli pertamax  gaperlu aplikasi cmiiw</t>
  </si>
  <si>
    <t>tumpah minyak air cilacap  bilang beritajogja jogja jogjaistimewa</t>
  </si>
  <si>
    <t>edc  spbu daerah banget rusak baik nunggu vendor telkom lamaa ampun dah</t>
  </si>
  <si>
    <t>ga mudah pake app pedulilindungi shopi grab dll bayangin app  kayak gitu ga instal orang it ribet superapp yg mana</t>
  </si>
  <si>
    <t>amat was was upaya  batas pertalite sia sia</t>
  </si>
  <si>
    <t>untung apaaaaa jual bbm udah monopoli aja bnyak rugi tuh jabat jabat  potong tunjang klo gaji potong</t>
  </si>
  <si>
    <t>tingkat subsidi sasar  uji coba layan pertalite solar guna daftar langkah nih good job  sukses</t>
  </si>
  <si>
    <t>kait guna applikasi  ada sounding customer</t>
  </si>
  <si>
    <t>keren tingkat subsidi sasar  uji coba layan pertalite solar guna daftar nih</t>
  </si>
  <si>
    <t>tingkat subsidi sasar  uji coba layan pertalite solar guna daftar good job  maju</t>
  </si>
  <si>
    <t>dgn tingkat subsidi sasar  uji coba layan pertalite solar guna daftar moga uji coba nya hasil nih</t>
  </si>
  <si>
    <t xml:space="preserve"> bikin atur beli bbm via hp pas coba daftar nya gampang masuk nya susah wuaduh ribetnya ampuuuun eko</t>
  </si>
  <si>
    <t>jokowi ngotot periode prestasi esemka jis kelar  hebat petronas</t>
  </si>
  <si>
    <t>yg bikin  orang pinter tp bikin atur atur goblok</t>
  </si>
  <si>
    <t>ihiyyy sjw  is calling</t>
  </si>
  <si>
    <t>sesuai target capai  ide gak pikir kendara gapunya smartphone gapunya paket data</t>
  </si>
  <si>
    <t>perhati wajib beli bbm subsidi pertalite solar subsidi  juli</t>
  </si>
  <si>
    <t>semarangpedia  uji coba data kendara terima bbm subsidi  ujicobapendataankendaraanpenerimasubsidibbm semarangpedia subsidibbm yogyakarta</t>
  </si>
  <si>
    <t>oh boy can wait until data  get leaked and noone gives shit</t>
  </si>
  <si>
    <t xml:space="preserve"> rugi triliun rupiah  rugi rp triliun komisaris puja puj</t>
  </si>
  <si>
    <t xml:space="preserve"> whytamina</t>
  </si>
  <si>
    <t>negara hadir rakyat tp hadir hidup ribet beli minyak goreng curah pke hp peduli lindung beli bbm mesti pke hp pdhl  larang guna hp area spbu klo beli make hp make duit sik msh mending</t>
  </si>
  <si>
    <t>iyaa sii mending  urusin tuh ecer yg lewat batas beli kendara gak bagi</t>
  </si>
  <si>
    <t>jdi skrg main hp  ya</t>
  </si>
  <si>
    <t>spbu  tulis larang hp foto terima telpon karna akibat percik api signal hp eee ladaaaalah suruh pakai app yg nota bene pakai internet</t>
  </si>
  <si>
    <t>tetep aja ntr  jg rugi</t>
  </si>
  <si>
    <t>bgmn  jgn plintat plintut don bikin bingung masyarakat</t>
  </si>
  <si>
    <t>mas  yah hahahahahaa</t>
  </si>
  <si>
    <t>klo yg gak smartphone gmn bikin deh fgd nya coba dibersihin dalem  ya bijak sulit rakyat mulu</t>
  </si>
  <si>
    <t>cilacap  investigates oil spill in don river</t>
  </si>
  <si>
    <t xml:space="preserve"> harga langsung gaes</t>
  </si>
  <si>
    <t>klo  sadar dilakuin ujicoba daerah tinggal pulsa bensin deh makan aja udah syukur dilakuin coba aja daerah maju iring jalan daerah maju ekonomi sosmednya</t>
  </si>
  <si>
    <t>spbu kota rerata yg transaksi yg pakai emoney alat sdh spbu tugas alat rusak mohon  rutin monev amp upgrade layan biar smakin jos</t>
  </si>
  <si>
    <t>alhamdulillah ajang csr  borong harga</t>
  </si>
  <si>
    <t>bakar guna hp spbu direksi  tangkap</t>
  </si>
  <si>
    <t>makas besok kantor ya gantiin si ahok komisaris  pake baju item putih lengan gulung</t>
  </si>
  <si>
    <t>dr wwncra dg jabat  tv apply aplikasi klu sdh ap</t>
  </si>
  <si>
    <t xml:space="preserve"> keren prestasi</t>
  </si>
  <si>
    <t>bocor pipa  gempar warga</t>
  </si>
  <si>
    <t>inti spy direksi amp komisaris  posisi aman drpd an anggap ga becus ngurus sampe rugi triliyunan</t>
  </si>
  <si>
    <t>konsep paradox emang  keren banget</t>
  </si>
  <si>
    <t xml:space="preserve">rugi rp triliun kpk panggil ahok kait duga korupsi ada lng pt </t>
  </si>
  <si>
    <t>gatau emg bijak  tolol trus kmrn langgan ngisi bensin yakali ngerti nahan selang kalo bensin dah full</t>
  </si>
  <si>
    <t xml:space="preserve"> usaha hijau green corporation andal energi baru ebt</t>
  </si>
  <si>
    <t>data hobi pakai utk nentuin marketing komunikasi  depan bikin event event yg kait hobi hobi</t>
  </si>
  <si>
    <t>pt  persero anak usaha pt  patra niaga terap uji coba pertalite solar juli</t>
  </si>
  <si>
    <t>dr wwncra dg jabat  tv apply aplikasi klu sdh approved screen shot sj print klu laminating bawa spt stnk gk kali apply</t>
  </si>
  <si>
    <t xml:space="preserve"> juara kali menteri desa</t>
  </si>
  <si>
    <t>pertalite jt dijadiin uang babe kasih koq voucher pertalite kmu hrs ksh org yg bli pertalite to said babe tambayong duit voucher yg cetak  to ambyar</t>
  </si>
  <si>
    <t>umkm bina  mantul</t>
  </si>
  <si>
    <t>irto giting makan aja susah kau suruh beli paket data  udah kwalisi dg operato komunikasi</t>
  </si>
  <si>
    <t>yg pelosok internet susah buka hp masuk aplikasi yg internet kalo bijak survey bos analisa lokasi  indonesia paham kau</t>
  </si>
  <si>
    <t>orang  ide beli bbm pake aplikasi nyewotin</t>
  </si>
  <si>
    <t>kaleng kaleng nih langsung harga  mantul</t>
  </si>
  <si>
    <t xml:space="preserve">kota yogyakarta uji coba data </t>
  </si>
  <si>
    <t xml:space="preserve">trima kasih mas mas </t>
  </si>
  <si>
    <t xml:space="preserve"> lu masang larang maen hp pom bensin guna kalo beli bbm suruh aplikasi</t>
  </si>
  <si>
    <t>boroboro pake apk orang struk aja kadang ga kasi kertas abisss struk manual kertas abissss lawakk gua apk  nge lag</t>
  </si>
  <si>
    <t xml:space="preserve">yg bagong drpd wanita </t>
  </si>
  <si>
    <t>jual bensin  dmn yaa jd males ngantri bensin  ribet</t>
  </si>
  <si>
    <t xml:space="preserve">program </t>
  </si>
  <si>
    <t>bener banget mas pr nya  lumayan nih sosialisasi sistem beli bensin butuh yg lumayan sih</t>
  </si>
  <si>
    <t xml:space="preserve"> prestasi minyak bidang  prestasi</t>
  </si>
  <si>
    <t>whyyyy  whyyy</t>
  </si>
  <si>
    <t xml:space="preserve">benerin otak lu gan dukung </t>
  </si>
  <si>
    <t xml:space="preserve"> to compensate residents who help clean oil spill tempoenglish</t>
  </si>
  <si>
    <t>shell pom yg warna ijo lupa nama gak ecer gak beli  kapok kalo serentak karna dapat turun akibat bijak yg</t>
  </si>
  <si>
    <t>metro yogyakarta syarat daftar kendara beli bbm subsidi lengkap klik taut yogyakarta  spbu bbmsubsidi</t>
  </si>
  <si>
    <t xml:space="preserve">prestasi </t>
  </si>
  <si>
    <t>emng ngadi nih  kek celamitan bener an digital sgala mending urusin deh tugas yg kagak buka pos pas jam prime time ngisi bensin kalo alesan marketing biar pertamax ya gak gitu lahh</t>
  </si>
  <si>
    <t>rasain era digitalisasi ken  jatohnya maksain ajg mana bikin app ngemudahin ngeribetin ajg emosi</t>
  </si>
  <si>
    <t>orang  mikir ga kalo yg isi bensin yg udah sepuh</t>
  </si>
  <si>
    <t>rather to beli bensin pom negeri yg gampang mahal banding ribet  mending gocap dah banding ribet beli pertamax yg masuk perintah</t>
  </si>
  <si>
    <t>lagipula nama subsidi  ga timbang jenis hp masyarakat pakai subsidi download aplikasi whatsapp aja dikit dikit notif your disk is running out of space</t>
  </si>
  <si>
    <t xml:space="preserve"> dorong umkm maju kembang</t>
  </si>
  <si>
    <t>andai perintah  cerdas pro rakyat yg pakai mobil pakai aplikasi lindung batas brli yg subsidi yg pakai mobil pasti morat marit depan tuju tp maling jahat</t>
  </si>
  <si>
    <t xml:space="preserve">dr ya </t>
  </si>
  <si>
    <t>wow  langsung borong harga mantap</t>
  </si>
  <si>
    <t xml:space="preserve">menerut gw sih strategi marketing  malas antri ribet beli pertamax huhu </t>
  </si>
  <si>
    <t xml:space="preserve"> jos</t>
  </si>
  <si>
    <t>om atur pusat laku daerah wajib ngamuk atur aplikasi  coba negara ga luluh pusat enak om</t>
  </si>
  <si>
    <t>lucu sih gw bbm langsung ga tuju gilir  rugi disalahin perintah harga minyak dunia lambung</t>
  </si>
  <si>
    <t xml:space="preserve"> ngapain siii</t>
  </si>
  <si>
    <t>beli bbm subsidi isi aplikasi tanggal juli  pertalite</t>
  </si>
  <si>
    <t>boro merem  untung loe melek melotot melotot nya aja rugi bacot aja digedein</t>
  </si>
  <si>
    <t>daftar guru aperti bumn universitas  universitas internasional semen indonesia telkom uni</t>
  </si>
  <si>
    <t>app prerequisite koneksi tcp ethernet yg nyampe dalam vhf uhf app  kirim data pakek morse aja bilang mah</t>
  </si>
  <si>
    <t>baca lanjut kak tenaaang website  tetep aja kontol sih ups sorry</t>
  </si>
  <si>
    <t>bijak  silah kritik saran mas  mas ngamuk ngetik ngalur ngidul komen gaakan bantu  gatau kalo yg berat kalo jdi sjw jan nanggung last semangat</t>
  </si>
  <si>
    <t>jabat  menteri bumn kerja susah rakyat kayak ente nyalon presiden</t>
  </si>
  <si>
    <t>pinter nih  tau aja orang mid hi males ribet eh tinggal nunggu celah deng</t>
  </si>
  <si>
    <t>mah  gamau kalah indomobile</t>
  </si>
  <si>
    <t>gw isi pake shell aja dah biar  pailit</t>
  </si>
  <si>
    <t>tingkat subsidi sasar  uji coba layan pertalite solar guna daftar upaya bagus nih</t>
  </si>
  <si>
    <t xml:space="preserve"> energijatimbalinus energiuntukmaju patraniaga patraniagajatimbalinus energizingyourfuture</t>
  </si>
  <si>
    <t>yg bikin orang spbu  wkwkw lawak emang</t>
  </si>
  <si>
    <t>keren nih tingkat subsidi sasar  uji coba layan pertalite solar guna daftar</t>
  </si>
  <si>
    <t xml:space="preserve">jual pertalite mobil tangki modifikasi spbu kudus sanksi </t>
  </si>
  <si>
    <t>paham konteks inti tweet atas nyata  ynag kontradiktif dg yg kampanye tdk hp isi bbm</t>
  </si>
  <si>
    <t xml:space="preserve"> tolong bikin ribet rakyat yg beli bbm pertalite iya kudu daftar klo bensin mtr abis ga kuota ap hp nya yg android gmn</t>
  </si>
  <si>
    <t>mama lek pas nang  dewe gaisok gawe aplikasi iki kongkon nanges ae ben ditulungi mbake</t>
  </si>
  <si>
    <t>tingkat subsidi sasar  uji coba layan pertalite solar guna daftar moga uji coba hasil</t>
  </si>
  <si>
    <t>nambah nambahi beban hp ae  iki</t>
  </si>
  <si>
    <t>utk fee  lugi nan</t>
  </si>
  <si>
    <t>keren banget deh tingkat subsidi sasar  uji coba layan pertalite solar guna daftar moga sasar</t>
  </si>
  <si>
    <t>tingkat subsidi sasar  uji coba layan pertalite solar guna daftar langkah bagus nih</t>
  </si>
  <si>
    <t>anak usaha  temu cadang migas laut jawa</t>
  </si>
  <si>
    <t>indonesia  makes app requirement for buying subsidized fuel oil</t>
  </si>
  <si>
    <t>larang main hp spbu mo ledak bole revisi ulang aplikasi  sto</t>
  </si>
  <si>
    <t>kalo bikin susah dubikin gampang prinsip  komisaris ga ya situ</t>
  </si>
  <si>
    <t>masyarakat hak terima subsidi masyarakat udah tau gak bikin ribet  download aplikasi notabene download smart phone beli pertalite aja</t>
  </si>
  <si>
    <t>wakil ketua dpr ri sufmi dasco ahmad pt  sosialisasi luas dalam kait renc</t>
  </si>
  <si>
    <t>gaiss tau nggaboleh bersihin telinga pakai cottonbud nih pake gais udah oneset pcs murce cuss co gaiss shopee azzam  ve reply lastanime holywings lontong chico zeenunew</t>
  </si>
  <si>
    <t>sepakat  nya yg pake app user</t>
  </si>
  <si>
    <t>gaiss topi golf senam nihh lucu bangeeet warna lucu lucuu cuss co gaiss shopee azzam  ve reply lastanime holywings lontong chico zeenunew</t>
  </si>
  <si>
    <t>bliin ak saham  duls</t>
  </si>
  <si>
    <t>gaiss liat deh sepatu boots anak anak lucu bangeet aaa ayo beliin keponakan anak bundd cuss co gaiss shopee azzam  ve reply lastanime holywings lontong chico zeenunew</t>
  </si>
  <si>
    <t>mjb mahasiswa universitas  kah open dm engga nanya nanya makasii</t>
  </si>
  <si>
    <t>spbu curang  sanksi</t>
  </si>
  <si>
    <t xml:space="preserve"> ga bawa kilang ngadi dah</t>
  </si>
  <si>
    <t>anak perempuan keponakan perempuan nih oneset gemeeey banget astaga cuss co gaiss shopee azzam  ve reply lastanime holywings lontong chico zeenunew</t>
  </si>
  <si>
    <t>gs nyalakn hp beli bbm nyala hp  gimn nih safety first</t>
  </si>
  <si>
    <t>nih jabat  tau jakarta doang</t>
  </si>
  <si>
    <t>kakak test  kah</t>
  </si>
  <si>
    <t>hai hai bunda bundaa jaket nih baby warna bagus bagus bahan tebel bundd cuss co gaiss shopee azzam  ve reply lastanime holywings lontong chico zeenunew</t>
  </si>
  <si>
    <t>sneakers keponakan baby nih cuss co gaiss shopee azzam  ve reply lastanime holywings lontong chico zeenunew gemeyy banget</t>
  </si>
  <si>
    <t>sneaker led baby nih bunda bunda gemeyy banget nggasyiii cuss co gaiss shopee azzam  ve reply lastanime holywings lontong chico zeenunew</t>
  </si>
  <si>
    <t>hii gaiss sandal niyy bagus banget ootd an cuss co gaiss shopee azzam  ve reply lastanime holywings lontong chico zeenunew</t>
  </si>
  <si>
    <t>ngga bela  ga langsung lo kontol kontolin gua gasetuju kalo pake app ribet deket spbu gaboleh hapean</t>
  </si>
  <si>
    <t>ga sih  aplikasi kalo internet indonesia aja bom rata</t>
  </si>
  <si>
    <t xml:space="preserve">eug beli shell bayar pake qris hp larang spbu </t>
  </si>
  <si>
    <t>udah diemin aja budak  gitu mah</t>
  </si>
  <si>
    <t>percaya  cek ombak aja</t>
  </si>
  <si>
    <t>yo dadi perintah enek anggar dinggo mbangun  dadi enek chance dinggo tambang duit bestie</t>
  </si>
  <si>
    <t>duduk kursi  tuh emang utbk</t>
  </si>
  <si>
    <t>wayy dunguuu gmn niih kabar  buuk</t>
  </si>
  <si>
    <t>bensin ga rasa mahal kalo dinaikin  dgn supreme utk bikin bensin limited edition supreme</t>
  </si>
  <si>
    <t>min kait guna aplikasi  beli solar pertalite</t>
  </si>
  <si>
    <t>siksa rakyat klu  rugi ganti komut ganti menteri bumn hrs tanggung jwbkan hukum ambil fee paksa dr rakyat</t>
  </si>
  <si>
    <t xml:space="preserve">good job </t>
  </si>
  <si>
    <t>berita nya jelasin masyarakat milik hp beli bbm subsidi no plat nya daftar verifikasi sistem database  baca bayar tunai gak wajib bayar apk nya</t>
  </si>
  <si>
    <t>mas tri peluang emas transformasi energi tambang green energy dgn inovasi pabrik ev battery indonesia pln inalum amp  berkolaburasi bentuk usaha raksasa ev battery mobil listrik bangkitbersamaet</t>
  </si>
  <si>
    <t>srg bahas dunia kampus tp sprt nya  bodoh sinyal magnetik hp jd sebab bakar</t>
  </si>
  <si>
    <t xml:space="preserve">biasae ngga paket sedia wifi gratis pom </t>
  </si>
  <si>
    <t>walach walach nder memori nyimpen aib negara nyimpen data  duduk bener</t>
  </si>
  <si>
    <t xml:space="preserve"> investigates oil spill in cilacap waters tempoenglish</t>
  </si>
  <si>
    <t xml:space="preserve">anak tau gak sih hubung kuda laut </t>
  </si>
  <si>
    <t xml:space="preserve"> kesini kesana</t>
  </si>
  <si>
    <t xml:space="preserve">wkwkwkwk reseller </t>
  </si>
  <si>
    <t>sih kakak gk terima snmptn itb trus surat universitas  kakak beasiswa full kasih uang uang asrama ortuku jarang ngirim uang kakak</t>
  </si>
  <si>
    <t xml:space="preserve"> sanksi spbu kudus langgar atur salur pertalite</t>
  </si>
  <si>
    <t xml:space="preserve">pelamin aja nggak </t>
  </si>
  <si>
    <t xml:space="preserve"> investigasi sebab liter minyak mentah tumpah air cilacap</t>
  </si>
  <si>
    <t xml:space="preserve"> temu cadang migas laut jawa</t>
  </si>
  <si>
    <t>kalo emang rasa  rugi yaudah naikin aja pertalite solar manajemen  direshuffle cari yg bener kerja drpd buka aplikasi mesin resiko nimbulin korban jiwa</t>
  </si>
  <si>
    <t>be like  spbu gaboleh nyalain hape  hehehe kalo kasi duit sii gapapa</t>
  </si>
  <si>
    <t>maaf dirut  gk butuh</t>
  </si>
  <si>
    <t xml:space="preserve">batalin atur </t>
  </si>
  <si>
    <t>ujicoba kak kota kabupaten info detilnya website  nya</t>
  </si>
  <si>
    <t>instal karna undingan berkah energy  guna yg</t>
  </si>
  <si>
    <t xml:space="preserve"> yg layak subsidi mobil bawah cc motor atas cc mobil kei car cc barang mevvah</t>
  </si>
  <si>
    <t>menteri esdm gandeng pln  cepat konversi motor bbm motor listrik</t>
  </si>
  <si>
    <t xml:space="preserve">sahabat </t>
  </si>
  <si>
    <t>rencana  uji coba kota kabupaten provinsi taudarikepripedia</t>
  </si>
  <si>
    <t xml:space="preserve">yg pake aplikasi mmg spbu khusus yg co co yg murni </t>
  </si>
  <si>
    <t>bingung aja kk  rugi ngapa yg sulit sadar hp ledak dgn aplikasi yg segambreng aplikasi bisnis tuh</t>
  </si>
  <si>
    <t>janji turun harga migor realisasi gak janji rakyat nkri lho bonk pimpin dunia tau jkwi janji nye ingkar kaga sjk indonesia lbh maju dri malaysia  aje kalah telak petronas ngibul aje lu pade</t>
  </si>
  <si>
    <t xml:space="preserve">spbu  motor angkut aja mobil pribadi jgn masuk spbu </t>
  </si>
  <si>
    <t>salah drama korea romantis ongoing drakorindo link eat love kill subtitle indonesia episode solar spbu  chico indra bekti</t>
  </si>
  <si>
    <t>denger berita  mikir emg somplak ya bijak</t>
  </si>
  <si>
    <t>ngisi bbm skalian isi paket data internet hebat indonesia skalian aja buang taik taik taik  pke qr code nanggung</t>
  </si>
  <si>
    <t xml:space="preserve"> terang resmi kait tumpah minyak cilacap jateng oh </t>
  </si>
  <si>
    <t>gosah aneh deh  kalo meminimalisir konsumen yg hak bbm liat plat kendara gosah bikin ribet pom bensin yg sepiknya pertalite abis biar ngisinya pertamax udah gitu antri</t>
  </si>
  <si>
    <t>banyak spbu  daerah kabupaten alat scannya fungsi printout jarang yg bener alat lapang jenis spbu yg pake aplikasi non aplikasi</t>
  </si>
  <si>
    <t>kantor  oke guys aplikasi sepi banget yg download yg ide yg download gimana kalo bikin fitur yg manfaat masyarakat skip salah atur bikin susah warga aja paksa make acc</t>
  </si>
  <si>
    <t xml:space="preserve"> larang guna hp area spbu beli pertalite solar aplikasi daftar dalam aneh</t>
  </si>
  <si>
    <t>hujan hujan makan mie its another level nikmat dunya dokter solar  lontong reply</t>
  </si>
  <si>
    <t xml:space="preserve">temen buzzer perintah </t>
  </si>
  <si>
    <t xml:space="preserve">jajan korea jaksel anjir nama pdhall jual </t>
  </si>
  <si>
    <t>klo  gtu mah aja shell super rame</t>
  </si>
  <si>
    <t xml:space="preserve"> ama pertamini</t>
  </si>
  <si>
    <t>emak gua ngoceh sistem  yg udah tau gak prnah kuota ngisi bensin ribet  bikin masyarakat sejahtera bikin susah dah gak hp kuota ya malih</t>
  </si>
  <si>
    <t xml:space="preserve"> ajar materi gem nih wkwk hp zaman gelombang keri zaman fyi</t>
  </si>
  <si>
    <t>petinggi  ni gk ngerti konsep digitalisasi khh</t>
  </si>
  <si>
    <t xml:space="preserve"> mandalika sag team bo bendsneyder gp congratul</t>
  </si>
  <si>
    <t>indonesia puncak emas pt pln inalum  kolaborasi bangun usaha baterai ra</t>
  </si>
  <si>
    <t xml:space="preserve"> goes bankrupt then makes stupid policies and that policy is only for the lower class people you can imagine how evil it is</t>
  </si>
  <si>
    <t xml:space="preserve">gabole maen hp pas </t>
  </si>
  <si>
    <t>ve just posted new blog kapolresta denpasar audensi pt  cabang denpasar</t>
  </si>
  <si>
    <t>kontradiktif atur  larang hidup handphone bnyak orang yg bs beli motor beli hp canggih anggap handphone butuh primer sj negara konoha</t>
  </si>
  <si>
    <t>nowonair corporate secretary pt  patra niaga sub holding commercial amp trading  irto ginting bahas kait bijak konsumen bbm jenis pertalite solar subsidi daftar syarat bbm jenis tugas subsidi</t>
  </si>
  <si>
    <t xml:space="preserve">jkt mah rame yg beli tpi service beda si </t>
  </si>
  <si>
    <t xml:space="preserve"> yg aneh</t>
  </si>
  <si>
    <t xml:space="preserve">uji coba beli pertamax pake aplikasi sulawesi kalimantan sana gada vivo shell dsbg ga deh kalo uji coba diterapin jakarta mah amsyong </t>
  </si>
  <si>
    <t>beda  shell shell edukasi pengertiam bbm  gitu kali ya wkkwk</t>
  </si>
  <si>
    <t>muak  mending pindah aja deh lapak laen</t>
  </si>
  <si>
    <t>baca ttg  juli tenyata bayar aplikasi hp</t>
  </si>
  <si>
    <t xml:space="preserve"> selidik sebab cecer minyak areal dermaga wijayapura cilacap wilayah air nusakambangan</t>
  </si>
  <si>
    <t>kirain ahok masuk  ngebenerin  gak tau bikin ribet hahahahahaha</t>
  </si>
  <si>
    <t xml:space="preserve">ngapain ya daftar apps bumn kait database peduli lindung aja </t>
  </si>
  <si>
    <t xml:space="preserve">dukung penuh </t>
  </si>
  <si>
    <t>mata  gambar kalkulator</t>
  </si>
  <si>
    <t xml:space="preserve">ndak ngestate statement sebelmnya sih bang tanggap ny tindih </t>
  </si>
  <si>
    <t>pertalite beli pake aplikasi kalo pake aplikasi beli bbm mikir tambah kuota  makmur telkomsel cs untung gilir jaring masalah ya sabar ga pertalite</t>
  </si>
  <si>
    <t>miskin  makane kakean nana ninu</t>
  </si>
  <si>
    <t>ealah lha jawab empane pro  mbak ak gagal faham maca twit mu</t>
  </si>
  <si>
    <t xml:space="preserve"> bangsat</t>
  </si>
  <si>
    <t>baca yg bener info yg valid kalo bener rugi gak ribut nyalahin sebab krena harga minyak dunia jdi  tanggung selisih harga jual ecer harga ekonomi bbm yg</t>
  </si>
  <si>
    <t>lo ajar macet ribet jgn pake emosi lo ketawa biar ga stres  dri gua sd larang hp skrg beli pake hp dgn jarak meter bahasa batak</t>
  </si>
  <si>
    <t>yntkts persijaday  pertalite</t>
  </si>
  <si>
    <t>tumpah area  cilacap</t>
  </si>
  <si>
    <t>menteri bumn erick thohir maskapai terbang pelita air layan tumpang milenial anak usaha  beda segmen garuda bangkitbersamaet</t>
  </si>
  <si>
    <t>nonton berita tv one reporter data  sdh konek dgn data dinsos utk yg layak dpt subsidi tdk pejabut konek yeee jaka sembung</t>
  </si>
  <si>
    <t>ga orang beli bensin shell traffic lha pom  yg trafficnya an orang menit ga khawatir bledug</t>
  </si>
  <si>
    <t xml:space="preserve">dah zaman mana kuda alat transportasi satu pertalite </t>
  </si>
  <si>
    <t xml:space="preserve">salah isi pertalite aplikasi daftar web </t>
  </si>
  <si>
    <t>sih dirut  jenius orang ya jenius susah rakyat</t>
  </si>
  <si>
    <t>mudah an dgn aplikasi  untung rugi mulu kalah pertamini</t>
  </si>
  <si>
    <t>udah cuek inget mang  ya mas</t>
  </si>
  <si>
    <t xml:space="preserve">tahap daftar guna siap ktp stnk foto kendara buka daftar ikut instruksi tunggu maks kerja email yg daftar konfirmasi unduh download kode qr simpan transaksi spbu </t>
  </si>
  <si>
    <t>work emang kalo planning lewatin  biar isi pake debit emoney</t>
  </si>
  <si>
    <t xml:space="preserve">tumpah minyak air cilacap </t>
  </si>
  <si>
    <t>kaji bumn pro kaya  nama digitalisasi tuan senang</t>
  </si>
  <si>
    <t xml:space="preserve"> selidik sumber tumpah minyak cilacap</t>
  </si>
  <si>
    <t xml:space="preserve">goodjob </t>
  </si>
  <si>
    <t xml:space="preserve">alhamdulillah ga keluarin uang beli bbm pertalite tks </t>
  </si>
  <si>
    <t>sulawesi sulit bbm masuj  antri sulit hidup indonesia</t>
  </si>
  <si>
    <t>udah uji coba batas guna solar pertalite kriteria yg hak  yuridis hak regulasi batas regulator</t>
  </si>
  <si>
    <t>hak atur gaji direksi  yg ratus juta bulan</t>
  </si>
  <si>
    <t xml:space="preserve">minyak liter tumpah air cilacap langkah </t>
  </si>
  <si>
    <t>atur  beli pertalite daftar aplikasi terobos yg terobos alias ruwet</t>
  </si>
  <si>
    <t>kakean cocot  emg</t>
  </si>
  <si>
    <t>resin dah biar ga donlot  ku wkwk</t>
  </si>
  <si>
    <t>kalo framingnya big data mah ngapain susah bijak perintah akses  punya negara ga swasta</t>
  </si>
  <si>
    <t xml:space="preserve"> udah macem spotify kudu subscribe</t>
  </si>
  <si>
    <t xml:space="preserve"> proses jual udah ga kuat bayar utang</t>
  </si>
  <si>
    <t>era digitalisasi beli minyak goreng peduli lindung beli bensin aplikasi dmna larang make hp  ktp fotocopy masuk industri dmna kuasa jabat absolut</t>
  </si>
  <si>
    <t>hai sobat informasi prosedur beli bbm bbk  sobat kirim direct message dm twitter bantu informasi lengkap terima kasih tony</t>
  </si>
  <si>
    <t>pt  patra niaga wajib masyarakat daftar beli bahan bakar minyak bbm jenis pertalite solar juli daftar titik ketitiknews berita beritaringkas hematwaktubacaberita beritasingkat</t>
  </si>
  <si>
    <t>minyak mentah cemar air cilacap hnsi cilacap  pencemaranminyakmentah cilacap</t>
  </si>
  <si>
    <t xml:space="preserve">shell gag make </t>
  </si>
  <si>
    <t xml:space="preserve">asww kota gw lgi ribet lu ah </t>
  </si>
  <si>
    <t xml:space="preserve">yg ngerti hukum nggak rakyat mengugat </t>
  </si>
  <si>
    <t>ngisi bensin kudu pake  hape android ngga hape cit ngga data duh merana</t>
  </si>
  <si>
    <t>cepat wujud ekosistem kendara listrik indonesia kolaborasi kolaborasi bumn swasta electrum  gogoro gesits bangkitbersamaet</t>
  </si>
  <si>
    <t>info lengkap kunjung hubung  call center makinamanmakincerdas call</t>
  </si>
  <si>
    <t>kelas  pikir gabisa wkwkwk sungguh dungu</t>
  </si>
  <si>
    <t>kalo  wajib digital gitu gimana dah orang nggak ngerti begitu udah gitu emang kagak bahaya ya</t>
  </si>
  <si>
    <t xml:space="preserve"> kaga maen hp kota gue masuk daftar deuuuhh</t>
  </si>
  <si>
    <t>tau info lengkap gak hp beli bbm subsidi nomor polisi kendara nomor plat daftar verifikasi database  baca bayar gak wajib lewak apknya tunai</t>
  </si>
  <si>
    <t>bkin atur beli pertalite pake aplikasi  scan sih orang udh pom bensin gaboleh make hp mksdnya gmna sih</t>
  </si>
  <si>
    <t xml:space="preserve">sumbang yatim piatu dhuafa install </t>
  </si>
  <si>
    <t>yg valid yg mamah jaman smp yg samsung gala young pakai seri mamah pake sedan sih bel pulang udah nunggu sekolah mobil ayah  pulang minggu pesawat rumah gedong kek sinetron sinetron</t>
  </si>
  <si>
    <t xml:space="preserve">susah langka minyak goreng bayang kerepot beli bbm </t>
  </si>
  <si>
    <t>watir pis ih  saking hayangna aplikasi na laku nepi ka maksa kitu ka masyarakat cuan jon cuan</t>
  </si>
  <si>
    <t xml:space="preserve">informasi klik link sariagri faktaunik infounik agridaily energi </t>
  </si>
  <si>
    <t xml:space="preserve">langgar layan konsumen modifikasi tangki bbm spbu kudus sanksi </t>
  </si>
  <si>
    <t xml:space="preserve"> makes app requirement for buying subsidized fuel oil</t>
  </si>
  <si>
    <t xml:space="preserve"> masyarakat hak pertalite solar daftar data laman tunggu kendara identitas konfirmasi guna daftar</t>
  </si>
  <si>
    <t xml:space="preserve"> jahat apus aplikasi</t>
  </si>
  <si>
    <t>masuk kilang depot timbun  mas kalo tau sop ga ngomong gitu kalo baik simpan kalimat</t>
  </si>
  <si>
    <t>nya  gblh main hp</t>
  </si>
  <si>
    <t>daftar heula ka  buru moal meuli bensin wkwkwkwk</t>
  </si>
  <si>
    <t>minyak mentah kawasan area  tumpah cari air sebab selidik  fokus bersih nusantara kompas</t>
  </si>
  <si>
    <t>jakarta perintah umum juli masyarakat daftar beli bahan bakar minyak bbm smashnews beritaterbaru beritaterkini beritaterupdate kabarterbaru  bbm beritaviral</t>
  </si>
  <si>
    <t>banget aplikasi  kota miskom perkara udah nanya pake debit nggak tugas nggak ngerti nanya iya iya aja alhasil ribet ku hamil gede kudu ninggalin mobil pom bensin jalan nyari atm</t>
  </si>
  <si>
    <t xml:space="preserve">perintah </t>
  </si>
  <si>
    <t>gaji gede  bijak bijimana pakde anak buah nyusahin rakyat emang yg butuh bbm subsidi yg kendara aja gak mikir spt tani nelayan dll bantu mikir gratis direksi</t>
  </si>
  <si>
    <t>panungtungan deket  oge atuh</t>
  </si>
  <si>
    <t>tumpah minyak mentah  cemar air nusakambangan download aplikasi berita dalam percaya khas hari kompas android</t>
  </si>
  <si>
    <t>nggak percaya kl bbm subsidi bukti saat harga minyak dunia jatuh tp bbm dlm negeri turun  rugi</t>
  </si>
  <si>
    <t>lupa bawa ponsel beli pertalite solar layan  patra niaga uji coba transaksi pertalite solar guna kendara roda daftar kota jawa barat juli</t>
  </si>
  <si>
    <t>untung  downloads aplikasi untung buka untung trs beli pakai saldo untung trss kpn rakyat yg untung negara</t>
  </si>
  <si>
    <t>moga cpt dapet bantu dr  kait dgn keluh ya kalo emg iya yg ga beres  pasti jg tindak si kaya</t>
  </si>
  <si>
    <t>hobi isi balap liar aja biar  tau butuh bgt bbm</t>
  </si>
  <si>
    <t>gayalu digitalisasi ngurus berkas dikit dikit fc ktp aneh emang negri ni atu kaga pake aplikasi aja udah macet bat tu  make app jir</t>
  </si>
  <si>
    <t>pantes kmaren gw negor megang hp pas top up solar diketawain abg  malu njirr</t>
  </si>
  <si>
    <t>gimana beli ecer jual bensin udah gak beli pertalite pom bensin pom  beli pakai dirigen pertamax</t>
  </si>
  <si>
    <t xml:space="preserve"> iku distributor tok gak</t>
  </si>
  <si>
    <t xml:space="preserve"> lawan global warming susah masyarakat beli bahan bakar panutan</t>
  </si>
  <si>
    <t>tugas komisaris utama salah satu awas jalan giat usaha periksa giat yg yg ahok komut   bobol rugi dganmu ahok</t>
  </si>
  <si>
    <t xml:space="preserve">kpk panggil ahok kait duga korupsi ada lng pt </t>
  </si>
  <si>
    <t>ni ribet bgt si beli bensin  hrs daftar online gua auto beli ecer nih kalo gin</t>
  </si>
  <si>
    <t>tp  lg canggih nih nih pake appnya user wajib masukin stnk datamobil mobil nama pribadi dpt harga non subsidi bensin jikaa mobil nama usaha dpt harga subsidi industri ga cekek</t>
  </si>
  <si>
    <t>jan kek orang susah war beli  nya</t>
  </si>
  <si>
    <t xml:space="preserve"> logic</t>
  </si>
  <si>
    <t xml:space="preserve"> uji coba aplikasi bbm subsidi kota jabar</t>
  </si>
  <si>
    <t>siar situs  buka juli masyarakat hak</t>
  </si>
  <si>
    <t>tau mau ngerepotin rakyat  alat mekanisme pantau mudah salah satu ktp turun ruwet</t>
  </si>
  <si>
    <t xml:space="preserve">cari data perlu jahat kelas tengah search in </t>
  </si>
  <si>
    <t>mamak ku kasih tau yg  tpi kek gsuka dech marah mayah</t>
  </si>
  <si>
    <t>im io gak sponsor  aja</t>
  </si>
  <si>
    <t>rakyat bondong jual mobil alih mob listrik  mewekk</t>
  </si>
  <si>
    <t>kilang  cilacap pasti air area bersih cecer minyak  cilacap beritacilac</t>
  </si>
  <si>
    <t>mohon syarat rakyat yg hak beli bbm subsidi mekanisme beli bbm subsidi menteri esdm regulator  laksana atur yg tetap menteri esdm</t>
  </si>
  <si>
    <t>search privacy data id  intr quota gt class middle amp hightlevel transprancy phising of class publict indonesia read</t>
  </si>
  <si>
    <t>medan terjal kota bebas pilih laju apa pilih pakai  dex ya</t>
  </si>
  <si>
    <t>mah panggil saksi sih beliau hadir  transparan ga yg tutup moga aja selesai dgn</t>
  </si>
  <si>
    <t xml:space="preserve">udah ga nyaman nih kerja bismillah direktur </t>
  </si>
  <si>
    <t>kilang  leduk atur sesuai hendak</t>
  </si>
  <si>
    <t>siar situs  buka juli masyarakat hak pertalite solar daftar situs konfirmasi ekonomi kompas</t>
  </si>
  <si>
    <t>dukung  nsebenernya larang pake handphone tank buka proses isi elek</t>
  </si>
  <si>
    <t>malaysia kaga cebonk petronas untung indonesia cebonk plus jkwi  rugi te</t>
  </si>
  <si>
    <t xml:space="preserve"> batas beli pertalite motor cc</t>
  </si>
  <si>
    <t xml:space="preserve">udu ngono lur simpel ngene wae jok opo stangmu templekki qrcode seko web </t>
  </si>
  <si>
    <t xml:space="preserve">malaysia kaga cebonk petronas untung indonesia cebonk plus jkwi </t>
  </si>
  <si>
    <t>tumpah minyak air cilacap  telusur sebab sumber tumpa</t>
  </si>
  <si>
    <t>tuh pakai hp bayar dgn link aja  nwkwkwk nscannya persis belah dispenser</t>
  </si>
  <si>
    <t xml:space="preserve"> larang telepon seluler isi bahan bakar nalso  beli bahan baka</t>
  </si>
  <si>
    <t xml:space="preserve"> cocok nopol daftar stnk beli pertalite</t>
  </si>
  <si>
    <t>nih kalo app  punchline nya kek peduli lindung mending gausah deh</t>
  </si>
  <si>
    <t>bokap gw pagi rumpi tetangga apps  nkata bokap yg umur udah thn hp nokia jadul yg</t>
  </si>
  <si>
    <t xml:space="preserve"> polisi goalnya tuju pertalite sasar npasang cctv spbu kh</t>
  </si>
  <si>
    <t>gantung penting kalo nguntungin  ya</t>
  </si>
  <si>
    <t>seblak  top bgt</t>
  </si>
  <si>
    <t xml:space="preserve">ak bs diam karna jajan karna </t>
  </si>
  <si>
    <t>nice nbetul inti  butuh data orang yg hak gitu sih ntp problem</t>
  </si>
  <si>
    <t>bayar aja ribet udah bayar eh  ya rugi aneeh</t>
  </si>
  <si>
    <t>pagi yg ukraina tolong pesan  kab tegal khusus spbu pantura lingkar propin</t>
  </si>
  <si>
    <t xml:space="preserve"> patra niaga sub holding commercial amp trading pt  persero uji coba layan penjuala</t>
  </si>
  <si>
    <t>isi bensin  self service ya persis kaya film tremors trans tv</t>
  </si>
  <si>
    <t>baru oot n patuh mahzab perintah ribet susah ya</t>
  </si>
  <si>
    <t>bijak prematur  bodoh bijak tabrak dgn bijak yg</t>
  </si>
  <si>
    <t>ngurus jakarta gak becus ngurus  rugi model puja puja dukung</t>
  </si>
  <si>
    <t xml:space="preserve"> pakai ponsel spbu simak syarat</t>
  </si>
  <si>
    <t>spbu non  jd gampang pantau mutu konsumenny</t>
  </si>
  <si>
    <t>tutup selisih aksi  perintah part perintah</t>
  </si>
  <si>
    <t>buka apk  nspbu duaarrr</t>
  </si>
  <si>
    <t>mulyani  rugi rp triliun pln rugi rp triliun npdhal rakyat beli bbm slalu cash bgitu jg pln kl</t>
  </si>
  <si>
    <t>ribet abis ml jarak  kenalin identitas via plat pakai aplikasi sungguh paksa</t>
  </si>
  <si>
    <t>nih kasih link nya aja ya tu statement dr dirut  lang</t>
  </si>
  <si>
    <t>inilo mantap  sbg usaha kelola tambang minyak gas bumi masuk daftar merek usaha</t>
  </si>
  <si>
    <t>mantap bgt  sbg usaha kelola tambang minyak gas bumi masuk daftar merek usaha</t>
  </si>
  <si>
    <t>keren  sbg usaha kelola tambang minyak gas bumi masuk daftar merek usaha mi</t>
  </si>
  <si>
    <t>keren  sbg usaha kelola tambang minyak gas bumi masuk daftar merek usaha</t>
  </si>
  <si>
    <t xml:space="preserve"> rugi ratus triliun</t>
  </si>
  <si>
    <t>joss inimah  sbg usaha kelola tambang minyak gas bumi masuk daftar merek usaha</t>
  </si>
  <si>
    <t>mantap  sbg usaha kelola tambang minyak gas bumi masuk daftar merek usaha</t>
  </si>
  <si>
    <t>keren looo  sbg usaha kelola tambang minyak gas bumi masuk daftar merek usaha</t>
  </si>
  <si>
    <t>bangga mantap  sbg usaha kelola tambang minyak gas bumi masuk daftar merek perusahaa</t>
  </si>
  <si>
    <t>bangga loh  usaha kelola tambang minyak gas bumi masuk daftar merek usaha</t>
  </si>
  <si>
    <t xml:space="preserve">pas lu tinggal kasih tawar kerja </t>
  </si>
  <si>
    <t>bangga bgt  usaha kelola tambang minyak gas bumi masuk daftar merek usaha</t>
  </si>
  <si>
    <t xml:space="preserve"> untung jual aplikasi norang beli bayar bikin ribet</t>
  </si>
  <si>
    <t>bangga  usaha kelola tambang minyak gas bumi masuk daftar merek usaha</t>
  </si>
  <si>
    <t xml:space="preserve">ahok psi yg deg deg bro nlihat aja nmulai </t>
  </si>
  <si>
    <t>kalsel kalo  milih beli sih</t>
  </si>
  <si>
    <t>iki tukune yo tetep mbayar to nkok ribet banget nopo untunge  akeh je</t>
  </si>
  <si>
    <t>bkn hanaya  kader dr partai moncong byk yg gak beres dr yg marah suka bokep dito</t>
  </si>
  <si>
    <t>langkah bijak pt  patra niaga upaya salur bbm subsidi salur solar pertalite penu</t>
  </si>
  <si>
    <t>mantap inimah pt  patra niaga upaya salur bbm subsidi salur solar pertalite penu</t>
  </si>
  <si>
    <t>keren inimah pt  patra niaga upaya salur bbm subsidi salur solar pertalite penug</t>
  </si>
  <si>
    <t>lo komut  napa jubirnya napa karyawan kontrak nsemoga kluarga mu bahagia bis</t>
  </si>
  <si>
    <t xml:space="preserve"> bbm subsidi sasar</t>
  </si>
  <si>
    <t>joss inimah pt  patra niaga upaya salur bbm subsidi salur solar pertalite penuga</t>
  </si>
  <si>
    <t>mantap lo pt  patra niaga upaya salur bbm subsidi salur solar pertalite penugasa</t>
  </si>
  <si>
    <t>keren lo pt  patra niaga upaya salur bbm subsidi salur solar pertalite tugas</t>
  </si>
  <si>
    <t>bisnis nesar mengikutsertakan link aja  gila ndro untung</t>
  </si>
  <si>
    <t>gara kantor  wilayah dki smua bijak  arah gub dk</t>
  </si>
  <si>
    <t>slogan  komut ahoax kalo sulit mudah haha</t>
  </si>
  <si>
    <t>kyknya engga itu ga  pake</t>
  </si>
  <si>
    <t>beli bbm subscribe ch youtubenya  biar dpr cuan dr mbah google</t>
  </si>
  <si>
    <t>payment pake link aja tangki suruh pake apps  nmending lu benerin tu</t>
  </si>
  <si>
    <t>operator spbu lapang mang dah ditraining gk spbu murni milik  lancar jaya</t>
  </si>
  <si>
    <t>mantap npt  patra niaga upaya salur bbm subsidi salur solar pertalite penuga</t>
  </si>
  <si>
    <t>pt  patra niaga upaya salur bbm subsidi salur solar pertalite tugas</t>
  </si>
  <si>
    <t>wta kalo beli bensin skrg pake ktp app  kah</t>
  </si>
  <si>
    <t xml:space="preserve">gue hidup jaman glory sampe ngenesnya </t>
  </si>
  <si>
    <t>keren npt  patra niaga upaya salur bbm subsidi salur solar pertalite tugas in</t>
  </si>
  <si>
    <t xml:space="preserve"> uji coba layan jual pertalite solar guna daftar bbm ber</t>
  </si>
  <si>
    <t>hai sobat  nsetiap orang nikmat bubur ayam pakai</t>
  </si>
  <si>
    <t>kalo dri sisi  kihat data spbu pe jual serta je</t>
  </si>
  <si>
    <t>pt  patra niaga regional jawa barat upaya salur bbm subsidi sesuai am</t>
  </si>
  <si>
    <t>lawak  pmlik spbu asem ganti plang nempelny bikin repot aja</t>
  </si>
  <si>
    <t>pt  patra niaga langkah penyelewenga</t>
  </si>
  <si>
    <t>pt  persero  patra niaga wajib beli bbm subsidi pertalite solar su</t>
  </si>
  <si>
    <t xml:space="preserve">jare dolan hp iso gawe mbledos pom bensin kuwi hoax sumber artikel akeh ning negeri naku ra mbelani </t>
  </si>
  <si>
    <t>komisaris  tag biar action</t>
  </si>
  <si>
    <t>pt  persero anak usaha pt  patra niaga berncana ada bijak kait pembe</t>
  </si>
  <si>
    <t>ga berani ngatain  gara temen menejer sana tega ngatain kemensul temen esmelon sana</t>
  </si>
  <si>
    <t>keren inimah n usaha kelola tambang minyak gas bumi masuk daftar merek rusa</t>
  </si>
  <si>
    <t>mantap n usaha kelola tambang minyak gas bumi masuk daftar merek perus</t>
  </si>
  <si>
    <t xml:space="preserve">register samsat buat api </t>
  </si>
  <si>
    <t>susah ya kl udah kontrak usul bu ikut kontrak  beli avtur ada</t>
  </si>
  <si>
    <t>keren bgt n usaha kelola tambang minyak gas bumi masuk daftar merek perusahaa</t>
  </si>
  <si>
    <t>alhamdulillah n usaha kelola tambang minyak gas bumi masuk daftar merek perus</t>
  </si>
  <si>
    <t>keren ni n usaha kelola tambang minyak gas bumi masuk daftar merek usaha</t>
  </si>
  <si>
    <t>kejut n usaha kelola tambang minyak gas bumi masuk daftar merek usah</t>
  </si>
  <si>
    <t>prestasi n usaha kelola tambang minyak gas bumi masuk daftar merek usaha</t>
  </si>
  <si>
    <t>keren n usaha kelola tambang minyak gas bumi masuk daftar merek usaha mi</t>
  </si>
  <si>
    <t>mantap n usaha kelola tambang minyak gas bumi masuk daftar merek usaha</t>
  </si>
  <si>
    <t xml:space="preserve"> usaha kelola tambang minyak gas bumi masuk daftar merek usaha minyak da</t>
  </si>
  <si>
    <t>top  ragu usaha migas nasional dunia</t>
  </si>
  <si>
    <t>satire  merem untung si ahok politik taek identitas</t>
  </si>
  <si>
    <t>ampuh ala  jual pertamax pertamax turbo</t>
  </si>
  <si>
    <t>keren  hasil capai brand rating aaa</t>
  </si>
  <si>
    <t>mantaaaappps  n hasil masuk top strongest oil amp gas brand peringkat versi br</t>
  </si>
  <si>
    <t>aplikasi  bentuk ketidakjelasan bumn negara yg make sense tsb</t>
  </si>
  <si>
    <t>pt  patra niaga subholding commercial amp trading pt  persero uji coba batas</t>
  </si>
  <si>
    <t>juli besok  buka proses daftar masyarakat beli pertalite solar</t>
  </si>
  <si>
    <t>mikir gin asumsi kalo gin  duit bangun infras</t>
  </si>
  <si>
    <t>gmn klo  galakin aja org yg mobil mewah tp pake pertalite bikin policy yg bikin org be</t>
  </si>
  <si>
    <t>top  profesional percaya</t>
  </si>
  <si>
    <t>selamat yah  n masuk urut world strongest oil amp gas brands mantaaaappps</t>
  </si>
  <si>
    <t>handal profesional n urut world strongest oil amp gas brands selamat yah</t>
  </si>
  <si>
    <t>iya sy klu spbu  lewat bp spbu klu bli rb ka</t>
  </si>
  <si>
    <t>mantaaap n masuk falam top strongest oil amp gas brand</t>
  </si>
  <si>
    <t xml:space="preserve">wow sukses </t>
  </si>
  <si>
    <t>konferensi pers polda diy  ungkap tindak pidana penyalahgunaan angkut bbm subsidi jenis bio sol</t>
  </si>
  <si>
    <t>konferensi pers polda diy  ungkap tindak pidana penyalahgunaan angkut bbm subsidi jenis</t>
  </si>
  <si>
    <t>kerja  the best</t>
  </si>
  <si>
    <t xml:space="preserve"> hasil masuk top strongest oil and gas brand</t>
  </si>
  <si>
    <t xml:space="preserve"> mini ngga gaes</t>
  </si>
  <si>
    <t>kemarin pake apps ndak diladenin lho ndan bbrp spbu  yg pakai apps khusu</t>
  </si>
  <si>
    <t>yg bikin app ngerasa indonesia cm pulau jawa  ni gk bikin antri aja deh daer</t>
  </si>
  <si>
    <t>update rs nmakasih yaa warga twitter yg udh bantu skrng ibu udh dpt rs rujuk  thankyou bgt</t>
  </si>
  <si>
    <t>alam sutera spbu  yg konsep self service nbayar ngisi ntetap awas ban</t>
  </si>
  <si>
    <t>gak heboh tp males cari nknp beli  amp solar hrs dftr website baca</t>
  </si>
  <si>
    <t xml:space="preserve">aneh indonesia urus orang orang yg tolol main hp alias buka aplikasi </t>
  </si>
  <si>
    <t>komut  sii bikinruwet aja</t>
  </si>
  <si>
    <t>pen banget ubah  gin isi mas aja ikhlas</t>
  </si>
  <si>
    <t xml:space="preserve"> stok bbm aman</t>
  </si>
  <si>
    <t>stok solar  level avtur pertamax turbo lpg</t>
  </si>
  <si>
    <t xml:space="preserve">daerah spt atur dr </t>
  </si>
  <si>
    <t>dumai singgah komplek  udah engga</t>
  </si>
  <si>
    <t>pjs corporate secretary pt  patra irto ginting wilayah pilih  memperti</t>
  </si>
  <si>
    <t xml:space="preserve"> jg tetep turun bang hormat tugas bayar doang</t>
  </si>
  <si>
    <t xml:space="preserve">bikin stickernya gimana fasilitas nggak </t>
  </si>
  <si>
    <t xml:space="preserve"> pegawai bilang bensin habis ngomong maaf mbak aplikasnya maintena</t>
  </si>
  <si>
    <t xml:space="preserve"> buka hp spbu</t>
  </si>
  <si>
    <t>pt  persero atur beli jenis bahan bakar minyak bbm khusus tugas jbkp perta</t>
  </si>
  <si>
    <t>direktur utama  sebut uji coba kota kabupaten sebar provin</t>
  </si>
  <si>
    <t>niih yaa drpd ngurusin ikn pake kereta gantung ato  pake app mending benerin dl sistem</t>
  </si>
  <si>
    <t>mending  swasta biar gk jadiin bahan politik org yg gk bsa tahan syahwatny</t>
  </si>
  <si>
    <t>liter minyak mentah tumpah air cilacap  ganti rugi</t>
  </si>
  <si>
    <t xml:space="preserve"> kasih solusi gak bikin aplikasi kalo improve mending bersihin aja toilet bikin gratis</t>
  </si>
  <si>
    <t>juli kendara beli solar subsidi spbu  wajib registrasi</t>
  </si>
  <si>
    <t>aplikasi lepas penting bisnis  coba perahatikan yg</t>
  </si>
  <si>
    <t xml:space="preserve"> tambah pasok spbu lebih kuota tetap lancar</t>
  </si>
  <si>
    <t>ken boikot  ohya monopoli</t>
  </si>
  <si>
    <t xml:space="preserve">maen hp ngerokok spbu </t>
  </si>
  <si>
    <t>pake qris ko bang  bayar pake qrcode biar cepet ga ngantri</t>
  </si>
  <si>
    <t>prank  larang hp pom nhoax dahal tugas spbu nya jufa main hp</t>
  </si>
  <si>
    <t>yg ngotot  bodoh gunain hp spbu sok baca</t>
  </si>
  <si>
    <t>khawatir corporate secretary  patra niaga irto ginting guna telepon sel</t>
  </si>
  <si>
    <t>kasih saham  lot</t>
  </si>
  <si>
    <t xml:space="preserve"> cari uang tambah aplikasi</t>
  </si>
  <si>
    <t>blm nnti kalo iklan app nya  cuan parahh</t>
  </si>
  <si>
    <t>petamina malang n sekarat ncari sunti dana aplikasi</t>
  </si>
  <si>
    <t xml:space="preserve">pjs corporate secretary pt  patra irto ginting wilayah pilih </t>
  </si>
  <si>
    <t>ok terima kasih bantu jelas btw kerja  kah tau ttg</t>
  </si>
  <si>
    <t>khawatir corporate secretary  patra niaga irto ginting guna tele</t>
  </si>
  <si>
    <t xml:space="preserve"> butuh dana aplikasi</t>
  </si>
  <si>
    <t xml:space="preserve">biasa perintah gabut gas pindah shell aja deh hahaha goodbye </t>
  </si>
  <si>
    <t xml:space="preserve">masyarakat yg hak sesuai daftar daftar ya upaya </t>
  </si>
  <si>
    <t xml:space="preserve"> apps ya ga kartu member aja kyk indomaret alfamart gitu ya pake nik aja</t>
  </si>
  <si>
    <t xml:space="preserve"> data profil guna tren butuh pertalite solar bbm</t>
  </si>
  <si>
    <t>masyarakat suruh ngendapin saldo apps  biar duit puter bayar utang maksud</t>
  </si>
  <si>
    <t>pt  patra niaga laku beli pertalite solar gun</t>
  </si>
  <si>
    <t>pt  patra niaga laku beli pertalite solar ap</t>
  </si>
  <si>
    <t>berita nih gengs pt  patra niaga laku beli pertalite solar</t>
  </si>
  <si>
    <t>simak pt  patra niaga laku beli pertalite solar menggunak</t>
  </si>
  <si>
    <t>mutual gue tau pt  patra niaga laku beli pertalite solar me</t>
  </si>
  <si>
    <t>bijak npt  patra niaga laku beli pertalite solar guna</t>
  </si>
  <si>
    <t>februari salur solar subsidi penuh  alami naik</t>
  </si>
  <si>
    <t xml:space="preserve"> tambah pasok spbu lebih kuota tetap lancar distribusi</t>
  </si>
  <si>
    <t xml:space="preserve"> koordinasi aparat aman salur solar subsidi</t>
  </si>
  <si>
    <t>distribusi bbm  darat laut udara</t>
  </si>
  <si>
    <t xml:space="preserve"> lancar aman distribusi nasional</t>
  </si>
  <si>
    <t xml:space="preserve"> pasti pasok solar aman</t>
  </si>
  <si>
    <t xml:space="preserve"> pasti bbm aman</t>
  </si>
  <si>
    <t>pt  patra niaga laku beli pertalite solar apl</t>
  </si>
  <si>
    <t>hot news npt  patra niaga laku beli pertalite solar ap</t>
  </si>
  <si>
    <t>perhati npt  patra niaga laku beli pertalite solar</t>
  </si>
  <si>
    <t>pt  patra niaga laku beli pertalite solar aplikasi</t>
  </si>
  <si>
    <t>pt  persero imbau masyarakat daftar beli bbm jenis pertalite aplikasi</t>
  </si>
  <si>
    <t>gila aja lo dalam pake app  yg butuh internet nmau tau dalam aja yg pakai app</t>
  </si>
  <si>
    <t>dirut  patra niaga alfian nasution dapat  badan usaha jual pertalite</t>
  </si>
  <si>
    <t>pg tunas harap  ntk tunas harap  nsd sd plus murung pudak nsmp smp plus murung</t>
  </si>
  <si>
    <t>ahok sdh bahagia sukses bro komut  salar mrintah lu nyemir sepat</t>
  </si>
  <si>
    <t>ya  kerjasama brad jones racing supercars in</t>
  </si>
  <si>
    <t>askrl skrng ngisi bensin kudu pke app  kh nitu nnti sistimnya kaya gmna deh nih hp udahan gamuat kapasitas lg wkwk</t>
  </si>
  <si>
    <t>konsekwensi investor spbu tanam modal spbu  bakar spbu gara gara cari untu</t>
  </si>
  <si>
    <t>udahlah dr kantor reimburse by bbm susah  nya jg nambah nyusahin nota print out</t>
  </si>
  <si>
    <t>klo pke aplikasi mudah nmisalnya masyarakat sen via apk  sedia kurir bayar</t>
  </si>
  <si>
    <t xml:space="preserve">ciri usaha bangkrut bikin bijak yg aneh ncontoh </t>
  </si>
  <si>
    <t>ini  jalan uji coba salur bbm subsidi sasar masyarakat yg hak</t>
  </si>
  <si>
    <t>teori fire triangle sdh tdk laku  basic knowledge laksana</t>
  </si>
  <si>
    <t>edustaff univ  semangatt yaa moga lulus yaa nnanti gabutuh semangat butuh selamat</t>
  </si>
  <si>
    <t xml:space="preserve"> patra niaga uji coba layan beli pertalite solar guna terd</t>
  </si>
  <si>
    <t xml:space="preserve"> larang coustumer aktif hp pasuk spbu ha</t>
  </si>
  <si>
    <t>negeri motor isi air jalan nbiar gak nyusahin  nyuuk doa</t>
  </si>
  <si>
    <t>pt  juli laku uji coba salur pertalite solar guna hak terdaf</t>
  </si>
  <si>
    <t>alam sutera spbu  yg konsep self service nbayar ngisi ntetap awa</t>
  </si>
  <si>
    <t>pasti  baik kait uji coba produk dikemba</t>
  </si>
  <si>
    <t>kemarin pake apps ndak diladenin lho ndan bbrp spbu  yg pakai app</t>
  </si>
  <si>
    <t xml:space="preserve"> indonesia kabupaten nggak angkot nkalau nggak nanggung</t>
  </si>
  <si>
    <t>bang mending klo kepung dpr mpr dah tuh  bikin atur ugal ugalan</t>
  </si>
  <si>
    <t>mohon jenderal atr penagkapan kpd oknum karyawan pt  yg bawa</t>
  </si>
  <si>
    <t>payment pake link aja tangki suruh pake apps  nmending lu beneri</t>
  </si>
  <si>
    <t>ahok angkat komisaris  alumni gatal ga</t>
  </si>
  <si>
    <t>ikhtiar  yg ane gak bawa jerigen beli bahan bakar udah hasil no po</t>
  </si>
  <si>
    <t>jenderal atr tangkap oknum karyawan pt  legal aset da</t>
  </si>
  <si>
    <t>semalem bahas  mulu nang random banget orang</t>
  </si>
  <si>
    <t>jendral atr tanah yg klim oknum karyawan pt  pusat pagar beton be</t>
  </si>
  <si>
    <t>pantesan  teu maju beak korupsieun hayang neang untung tinu aplikasi meuli nanaon ge ku duit</t>
  </si>
  <si>
    <t>mas beli pertalite pake mobil dinas kantor keluar tua nmas  bentar awas nudah kelam</t>
  </si>
  <si>
    <t>kerja bareng  aja gimana pasar kasih companynya profit wajib konsumen pu</t>
  </si>
  <si>
    <t xml:space="preserve"> wajib masyarakat beli bbm pertalite solar daftar cocok data</t>
  </si>
  <si>
    <t xml:space="preserve"> may ngembangin pertashop ngahajar pertamini supir kencing mana</t>
  </si>
  <si>
    <t>nitip tambah  sultan tajir belikan hape yak yg mentok cma</t>
  </si>
  <si>
    <t xml:space="preserve"> ujicoba beli pertalite solar guna daftar situs</t>
  </si>
  <si>
    <t>pdhl enak ngasih duit mbak  nya trs diarahin tank no berapaa suruh isi</t>
  </si>
  <si>
    <t>duh minyak mentah tumpah area pantai dermaga cilacap jelas  cilacap dermaga</t>
  </si>
  <si>
    <t>spbu non  jd gampang pantau mutu</t>
  </si>
  <si>
    <t>sebentar  laku uji coba beli pertalite solar data daftar ayo</t>
  </si>
  <si>
    <t>this coba bos bos  main jawa hari minggu deh rasain</t>
  </si>
  <si>
    <t xml:space="preserve"> laku uji coba beli solar pertalite masyarakat daftar ayo daftar</t>
  </si>
  <si>
    <t>pagi yg ukraina tolong pesan  kab tegal khusus spbu pantura lin</t>
  </si>
  <si>
    <t>guna pertalite solar daftar  bbm subsidi sasar lengkapcepatberitanya</t>
  </si>
  <si>
    <t>rekrut sarjana bisa  udh ingat hancur ya</t>
  </si>
  <si>
    <t>ngapain beli  daftar anjer tu ato gatau main gadget keburu abis bensin</t>
  </si>
  <si>
    <t>sekian transaksi  lho yg pake apli</t>
  </si>
  <si>
    <t>gw duga ant  dg milik aplikasi kerjasama nguntungin nya pel</t>
  </si>
  <si>
    <t>bpjs nduwe app dewe pedulilindungi pis  pis sim yo nduwe dewe nfoto aplikasi hapus</t>
  </si>
  <si>
    <t xml:space="preserve"> polisi goalnya tuju pertalite sasar npasang cctv</t>
  </si>
  <si>
    <t>followers mincot yg tau real tipu tipu nkonteks rekrutmen  re</t>
  </si>
  <si>
    <t>anda  ngak diprotect perintah izin bensin perta</t>
  </si>
  <si>
    <t>percaya  rugi naik gaji pegawai  nteriak rugi tid</t>
  </si>
  <si>
    <t xml:space="preserve"> pandang kuat  manfaat fungsional emosional pela</t>
  </si>
  <si>
    <t>selamat  nterus baik fokus usaha maksimal optimal</t>
  </si>
  <si>
    <t>laku baik percaya  baik</t>
  </si>
  <si>
    <t xml:space="preserve"> toreh prestasi bangga kali hasil raih worl strongest oil</t>
  </si>
  <si>
    <t xml:space="preserve"> terap standar ganda main game wa an spbu buka</t>
  </si>
  <si>
    <t>mngkin bgini cakap pr petinggi  gmn yh biar sasar kt bs pakai internet of thi</t>
  </si>
  <si>
    <t>hak nggak motor gilir buruh umr butuh nggak hak nuntung  nya</t>
  </si>
  <si>
    <t>tugas scan barcodenya pintu masuk  beli isi data ap</t>
  </si>
  <si>
    <t>saat gak terima utbk n ulbi telkom purwokerto nhechaty</t>
  </si>
  <si>
    <t>yg nyuruh pakai app  tau gak iya salah prov kalimantan yg</t>
  </si>
  <si>
    <t>lu ambigu ga min ndi  ga maenin handphone tp suru pake handphone beli be</t>
  </si>
  <si>
    <t>keren yaa  hasil capai brand rating aaa standar rating tinggi</t>
  </si>
  <si>
    <t>kirim salam kasih tau umur hidup merdeka indonesia kali  bego</t>
  </si>
  <si>
    <t>selamat  nkami harap  depan bangga lagi</t>
  </si>
  <si>
    <t>hebat  ini nberhasil raih peringkat versi brand finance top strongest oil amp gas brand</t>
  </si>
  <si>
    <t>niat atur salur bbm subsidi nggak  bikin sistem bis</t>
  </si>
  <si>
    <t xml:space="preserve"> hasil raih top strongest oil amp gas brand tempat peringkat versi brand finan</t>
  </si>
  <si>
    <t>keren yaa  hasil masuk top strongest oil amp gas brand peringkat versi brand finan</t>
  </si>
  <si>
    <t>sedih negara kelola amatir an sembarang  it</t>
  </si>
  <si>
    <t>n nungkap strategi cegah bocor salur bbm subsidi</t>
  </si>
  <si>
    <t>kelas  ntolong anak buah</t>
  </si>
  <si>
    <t>mba nya jgn samain bank sm  org bilang ribet ya salah satu ga efisien aja supir yg</t>
  </si>
  <si>
    <t>lipi suruh hadap mbak dian hapsari unit manager comunication amp csr nya  biar debat deh</t>
  </si>
  <si>
    <t>baru oot n patuh mahzab perintah ribet susah</t>
  </si>
  <si>
    <t>pagi undang  training amp consulting bicara bagi be aware of our</t>
  </si>
  <si>
    <t xml:space="preserve"> hak milik data masyarakat nzaman gampang men</t>
  </si>
  <si>
    <t>liat twitter instagram yg protes bijak  data pribadi bel njadi</t>
  </si>
  <si>
    <t xml:space="preserve">tek kim tuh jurasan cari kuliah susah gampang masuk </t>
  </si>
  <si>
    <t>n uji coba aplikasi juli</t>
  </si>
  <si>
    <t>n nterapkan esg operasi kilang minyak</t>
  </si>
  <si>
    <t>terima kasih sobat semangat mari dukung umkm  maju</t>
  </si>
  <si>
    <t xml:space="preserve">terima kasih sobat semangat mari dukung umkm </t>
  </si>
  <si>
    <t>terima kasih dukung sobat mari dukung umkm  le</t>
  </si>
  <si>
    <t>slm ahok komut ancor mah  rugi ttan kpk akn riksa ahok kss korup ada lng yg rugika</t>
  </si>
  <si>
    <t>nunggu yg komen beli aj eh dah gitu outlet non  pd turun harga</t>
  </si>
  <si>
    <t xml:space="preserve"> yg cocok bgt dipake aplikasi gw  yg serfive nantri panjang tete</t>
  </si>
  <si>
    <t>app sampah kelas  bikin app full bugs eh ga bikin deng nyomot sc team deve</t>
  </si>
  <si>
    <t>kalo tuju  masyarakat aplikasi utk isi bbm salah satu utk cegah kendara yg</t>
  </si>
  <si>
    <t xml:space="preserve">beli bensin dah pake apk </t>
  </si>
  <si>
    <t>warga kota tasikmalaya pilih beli bbm spbu daerah tetangga uji coba beli bbm pakai perta</t>
  </si>
  <si>
    <t xml:space="preserve">tuku bbm subsidi sing kudu nganggo aplikasi </t>
  </si>
  <si>
    <t xml:space="preserve">daftar subsidi tp ga save data kendara ny mu edit ga gimana nih  sunbsiditepat </t>
  </si>
  <si>
    <t xml:space="preserve">gin mulu dahh </t>
  </si>
  <si>
    <t>buat  syarat beli bahan bakar minyak bbm subsidi pertalite da</t>
  </si>
  <si>
    <t>antri gegara  ternate masuk kota ujicoba banyak warga tolak supir angko</t>
  </si>
  <si>
    <t>beli pertalite amp solar pake  beli tabung gas kg amp migor curah pake pedulilindungi eh gilir pem</t>
  </si>
  <si>
    <t>skeptis gtu ah laku  baik laku  berma</t>
  </si>
  <si>
    <t xml:space="preserve">laku  manfaat kendali subsidi perintah bbm pertalite aplikasi </t>
  </si>
  <si>
    <t xml:space="preserve">pertalite beli lpg kg daftar </t>
  </si>
  <si>
    <t xml:space="preserve"> pertalite kocak hmmm apk ga</t>
  </si>
  <si>
    <t>uji coba  laku  solusi hp https</t>
  </si>
  <si>
    <t>cap susah  review jelek google play</t>
  </si>
  <si>
    <t>laku  manfaat kendali subsidi perintah bbm pertalite bbm bersubdisi penya</t>
  </si>
  <si>
    <t xml:space="preserve">  spbu aman laku panggil telepon</t>
  </si>
  <si>
    <t>laku  manfaat utk kendali subsidi perintah bbm jenis pertalite sasar</t>
  </si>
  <si>
    <t>unduh aplikasi  loh coba deh keren laku  manfaat kendali subs</t>
  </si>
  <si>
    <t xml:space="preserve">nunggu trending </t>
  </si>
  <si>
    <t>buka daftar  beli pertalite</t>
  </si>
  <si>
    <t>pakai aplikasi  bbm subsidi sasar data daftar verifikasi dic</t>
  </si>
  <si>
    <t>pemkot bandung kendara motor pakai aplikasi  beli pertalite</t>
  </si>
  <si>
    <t>laku  manfaat kendali subsidi perintah bbm pertalite  ken</t>
  </si>
  <si>
    <t>daftar  beli bensin subsidi laku</t>
  </si>
  <si>
    <t>catat wilayah batas bbm pertalite solar daftar    pertalite solar</t>
  </si>
  <si>
    <t>nyuwun minyak murah kalih mister putin wkwk ben mboten ngangge  gaje</t>
  </si>
  <si>
    <t>donlot kasih bintang apk  hapus</t>
  </si>
  <si>
    <t>pagi sdh dengar omel mamah ngomel perintah gara  wkekekekekkekekek</t>
  </si>
  <si>
    <t>karywn spbu pertalite pertamax pa konsumen pertalite karywn spbu silah buka aplikasi  konsumen duuuaaarrrrr</t>
  </si>
  <si>
    <t>yg tentang  tentang pedulilindungi</t>
  </si>
  <si>
    <t xml:space="preserve"> beli pertalite wajib pake aplikasi   jual ecer beli kesini aja bg simpel biar aja yg ri</t>
  </si>
  <si>
    <t xml:space="preserve">beli minyak goreng pakai aplikasi peduli lindung beli bbm pakai aplikasi </t>
  </si>
  <si>
    <t>daftar bbm subsidi via  khusus mobil</t>
  </si>
  <si>
    <t>pertamax nomor murah pertalite pake app  gak pake pertalite beli pertamax pertalite hilang</t>
  </si>
  <si>
    <t>loading lemotnga naudzubillah moda bayar ga linkaja install  otomatis install linkaja efisiensi memori turun makan ui ux nya banget tarik mudah</t>
  </si>
  <si>
    <t xml:space="preserve"> kendara roda doang</t>
  </si>
  <si>
    <t>kota bandung salah daerah wajib beli bbm subsidi pakai aplikasi  imbas bijak warga ban</t>
  </si>
  <si>
    <t>moga  error biar take down nggak nyusahin orang aamiin</t>
  </si>
  <si>
    <t>antri gegara  ternate masuk kota ujicoba banyak warga tolak supir angkot kalah saing dgn grab beli bbm pake hp aplikasi beli pulsa negara hoby bikin warga susah supir angkot</t>
  </si>
  <si>
    <t xml:space="preserve"> linkaja rampok susah</t>
  </si>
  <si>
    <t>alas masyarakat  simak ya guys</t>
  </si>
  <si>
    <t>warga kota tasikmalaya pilih beli bbm spbu daerah tetangga uji coba beli bbm pakai  via</t>
  </si>
  <si>
    <t>pakai aplikasi  bbm subsidi sasar</t>
  </si>
  <si>
    <t>sesatisfy baca ulas aplikasi  haha</t>
  </si>
  <si>
    <t>gimana nih ngantri pake aplikasi  layar pecah pecah baca ga kamera tugas spbu nya</t>
  </si>
  <si>
    <t xml:space="preserve">hapus premium ta bluebird plat kuning subsidi ta online plat hitam apk </t>
  </si>
  <si>
    <t>juli daerah wajib pakai aplikasi  beli pertalite solar</t>
  </si>
  <si>
    <t>terap aplikasi  kontrol salur bbm subsidi nilai amat energi bijak</t>
  </si>
  <si>
    <t xml:space="preserve">jd misteri </t>
  </si>
  <si>
    <t xml:space="preserve">beli pertalite  achmad nur hidayat putus perintah matang karniilyas pertalite </t>
  </si>
  <si>
    <t xml:space="preserve">beli pertalite solar pake  eits salah baca yuk cek fakta lengkap komitmen </t>
  </si>
  <si>
    <t>ada yg sdh pakai aplikasi  baca orang yg sdh pasang aplikasi tsb yg aplikasi tsb</t>
  </si>
  <si>
    <t>pt  persero tbk proses beli bahan bakar minyak bbm subsidi jenis pertalite solar juli daftar situs  buka mbkbfm lengkap</t>
  </si>
  <si>
    <t>uji coba warganet keluh aplikasi  error kirim kode otp</t>
  </si>
  <si>
    <t xml:space="preserve"> tegas aplikasi  terap beli elpiji kg bandarlampung sumatra</t>
  </si>
  <si>
    <t xml:space="preserve">beli elpiji kg syarat aplikasi </t>
  </si>
  <si>
    <t>awas muncul  abal abal curi data</t>
  </si>
  <si>
    <t xml:space="preserve">gimana sobat pertalite udah ngisi bensin pake </t>
  </si>
  <si>
    <t xml:space="preserve">rating  yg sabar yah petralite </t>
  </si>
  <si>
    <t>cek fakta beli bbm wajib aplikasi   energytoday energytodayid</t>
  </si>
  <si>
    <t xml:space="preserve"> pakai aplikasi   energytoday energ</t>
  </si>
  <si>
    <t>jawab beli pertalite solar daftar website   en</t>
  </si>
  <si>
    <t>uji coba guna aplikasi  konsumen milik kendara roda laku kendara roda alias motor koranjakarta infografis bbm aplikasi indonesia</t>
  </si>
  <si>
    <t>yuk paham alas pakai  beli solar subsidi pertalite</t>
  </si>
  <si>
    <t>ayok unduh daftar  beli bbm tanggal juli</t>
  </si>
  <si>
    <t>tuju beli bbm wajib pakai   energytoday energytodayid</t>
  </si>
  <si>
    <t>akses apps   siap booth offline  energyto</t>
  </si>
  <si>
    <t>daftar kendara beli solar subsidi  tempobisnis</t>
  </si>
  <si>
    <t xml:space="preserve">kacau </t>
  </si>
  <si>
    <t xml:space="preserve"> masyarakat rumit bbm bersubdisi</t>
  </si>
  <si>
    <t>beli pertalite pake  bayar make link aja hp gb internal memory teriak teriak hahaha</t>
  </si>
  <si>
    <t>daftar bbm subsidi website  lindung hak subsidi energi masyarakat rentan lengkapcepatberitanya beritaterkini</t>
  </si>
  <si>
    <t>rating app  bintang play store bijak google klu app yg undang kontroversi block bgm nasib app ya amp bgm dgn app pedulilindungi nasib</t>
  </si>
  <si>
    <t>uji coba beli bbm subsidi pakai  laku simak jenis kendara darfar daerah terap</t>
  </si>
  <si>
    <t>aplikasi  google play store banjir review bintang akibat guna yan</t>
  </si>
  <si>
    <t xml:space="preserve">beli bbm pakai aplikasi </t>
  </si>
  <si>
    <t>kota bandung laku guna aplikasi  beli bbm jenis pertalite solar</t>
  </si>
  <si>
    <t>kemarin orang ribut beli pertalite ron daftar  baca syarat amp tentu daftar roda qr code diprint spbu handphone</t>
  </si>
  <si>
    <t xml:space="preserve">warga kota tasikmalaya pilih beli bbm spbu daerah tetangga uji coba beli bbm pakai </t>
  </si>
  <si>
    <t>bang beli gas daftar  ebuset tebang beli gas kudu daftar mana gk oaket download yaudeh maaff gk jual ama org sembarang</t>
  </si>
  <si>
    <t>laku daftar bbm subsidi website  roda</t>
  </si>
  <si>
    <t>aneh banget yg ngusulin pake  pom gaboleh main hp</t>
  </si>
  <si>
    <t>beli bbm pertalite solar aplikasi  laku juli via</t>
  </si>
  <si>
    <t xml:space="preserve">om pake  ya konten konten bantu edukiasi pakai </t>
  </si>
  <si>
    <t>ih bingung download  pdhl pom gaboleh main hp</t>
  </si>
  <si>
    <t>kontol lu bikin  cuman buang duit ya gila aja lo dalam pake app  butuh internet</t>
  </si>
  <si>
    <t>guna  alas loh guys yuk simak</t>
  </si>
  <si>
    <t xml:space="preserve"> solusi</t>
  </si>
  <si>
    <t xml:space="preserve">masyarakat dihimbau aplikasi </t>
  </si>
  <si>
    <t>pas uji coba  banjarmasin</t>
  </si>
  <si>
    <t>detiknetwork beli bbm pertalite solar subsidi wajib daftar situs  telat daftar konsumen ba</t>
  </si>
  <si>
    <t>daftar  milik kendara roda see this instagram photo by</t>
  </si>
  <si>
    <t>ada hasil registrasi subsidi  guys subuh  subsidi subsiditepat</t>
  </si>
  <si>
    <t>kak jogjes beneran pake  ni</t>
  </si>
  <si>
    <t xml:space="preserve">after isi full tank pake aplikasi </t>
  </si>
  <si>
    <t>daftar bbm subsidi website  khusus roda</t>
  </si>
  <si>
    <t xml:space="preserve">pedulilindungi  besok beli bayar listrik wajib pln mobile ngirup udara pake  lpg toilet pake </t>
  </si>
  <si>
    <t>heboh netizen daftar  juli eror nomor daftar</t>
  </si>
  <si>
    <t>apasih alas  atur beli bbm subsidi alas utk dukung regulasi salur bbm subsidi subsidi tdk sasar lindung utk masyarakat knp pakai  dpt kontrol salur bbm subsidi loh guys</t>
  </si>
  <si>
    <t>gagal daftar  mobil gak daftar</t>
  </si>
  <si>
    <t xml:space="preserve"> biaya admin rp transaksi coba ratus ribu orang yg beli bbm spbu rp rakyat aza yg rampok</t>
  </si>
  <si>
    <t>koalisi rakyat sipil  pedulilindungi ribet kuasa jarah data rakyat sat set</t>
  </si>
  <si>
    <t>ni ngurusin apk  ribet bat dah</t>
  </si>
  <si>
    <t xml:space="preserve">lepas ribetnya beli bbm pake apps narasi pakai apps  rem apps </t>
  </si>
  <si>
    <t>wduh  beli jenis bahan bakar minyak bbm pertalite solar daftar juli situs  tuai resah masyarakat</t>
  </si>
  <si>
    <t>mgtnews pt  persero daftar beli bahan bakar minyak subsidi platform digital  khusus milik kendara roda gengpagimgt mgtradio</t>
  </si>
  <si>
    <t xml:space="preserve"> gilir pedulilindungi</t>
  </si>
  <si>
    <t>untung guna apliksi  masuk kas negara ngga untung lumayan</t>
  </si>
  <si>
    <t xml:space="preserve">awal juli mu daftar </t>
  </si>
  <si>
    <t xml:space="preserve">  daftar    pertalite bensin solar bbm bb</t>
  </si>
  <si>
    <t>uji coba  wajib mobil</t>
  </si>
  <si>
    <t>fakta tarik uji coba aplikasi  beli pertalite solar nomor wajib</t>
  </si>
  <si>
    <t xml:space="preserve">warga kota bandung tolak beli pertalite pakai aplikasi </t>
  </si>
  <si>
    <t xml:space="preserve"> rakyat susah</t>
  </si>
  <si>
    <t xml:space="preserve">welcome juli download </t>
  </si>
  <si>
    <t>min udah akun   tetep daftar ga ya</t>
  </si>
  <si>
    <t>sih alas  atur beli bbm subsidi alas utk dukung regulasi salur bbm subsidi subsidi sasar lindung utk masyarakat pakai  kontrol salur bbm subsidi</t>
  </si>
  <si>
    <t>uud ujung ujung duit bisnis yg giur instal apkikasi  yg libat dal</t>
  </si>
  <si>
    <t xml:space="preserve">tua hp jadul sopir angkot susah susah </t>
  </si>
  <si>
    <t>install ulang aplikasi layan uang digital  aplikasi integrasi dgn aplikasi jenis</t>
  </si>
  <si>
    <t>loh guys alas  atur beli bbm subsidi utk dukung regulasi salur bbm subsidi subsidi sasar lindung utk masyarakat pakai  kontrol salur bbm subsidi</t>
  </si>
  <si>
    <t>daftar  ribet ya mending beli pertamax aja deh besok</t>
  </si>
  <si>
    <t>daftar beli pertalite pakai  buka</t>
  </si>
  <si>
    <t>kota bandung laku guna aplikasi  beli bbm jenis pertalite solar jumat via</t>
  </si>
  <si>
    <t>daftar bbm subsidi website  lindung hak subsidi energi masyarakat rentan nyata lapang salur bbm subsidi pertalite solar milik tantang</t>
  </si>
  <si>
    <t>nahloh kait ga nih dgn guna  utk beli pertalite solar tabung gas kg</t>
  </si>
  <si>
    <t xml:space="preserve"> keren</t>
  </si>
  <si>
    <t>yg beli bbm subsidi loh lbh kali blm lg top up lbh bulan acung jempol jeli  linkaja dlm buka google linkaja layan uang digital telkomsel</t>
  </si>
  <si>
    <t xml:space="preserve"> aplikasi mudah bbm subsidi</t>
  </si>
  <si>
    <t>sebenernya tamak user nek pas spbu ne tamak abis trus mo beli pertalite ga daftar subsidi  gimana jal auto tolak nyurung motor lha nek motor coba nek mobil</t>
  </si>
  <si>
    <t>beli bbm subsidi via  yg koneksi linkaja negara rampok rakyat via linkaja yg ambil rp top up hitung aja duit rakyat yg palak linkaja beli bbm mikiiiir</t>
  </si>
  <si>
    <t>suruh install  dlu</t>
  </si>
  <si>
    <t xml:space="preserve">siyap manfaat </t>
  </si>
  <si>
    <t xml:space="preserve"> biaya admin rp transaksi coba ratus ribu orang yg beli bbm spbu rp</t>
  </si>
  <si>
    <t>buat  syarat beli bahan bakar minyak bbm subsidi pertalite solar  aplikasi  salur bbm subsidi sasar</t>
  </si>
  <si>
    <t xml:space="preserve">  daftar    pertalite bensin solar bbm bbmbersubsidi subsidi knmaneges knmcomunity saudarajiwa pemersatubangsa nkrihargamati</t>
  </si>
  <si>
    <t xml:space="preserve">yokk aplikasi </t>
  </si>
  <si>
    <t>aplikasi  google play store banjir review bintang akibat guna keluh agam masal</t>
  </si>
  <si>
    <t xml:space="preserve">orang miskin ponsel pintar beli lpg kg pakai </t>
  </si>
  <si>
    <t>kota bandung laku guna aplikasi  beli bbm jenis pertalite solar jumat</t>
  </si>
  <si>
    <t xml:space="preserve">cemas selamat beli bbm warga kuningan tolak guna </t>
  </si>
  <si>
    <t xml:space="preserve"> respons isu beli gas elpiji pakai aplikasi </t>
  </si>
  <si>
    <t>main hp larang spbu beli pertalite pakai aplikasi  klo dah gin yg bego</t>
  </si>
  <si>
    <t xml:space="preserve"> udh liat playstore blom</t>
  </si>
  <si>
    <t xml:space="preserve"> beli pertalite solar aja kalo beli pertamax ga pake ya</t>
  </si>
  <si>
    <t>knp guna  terap kpd rakyat yg  yg mobil cc spd motor cc paksa apa alas  paksa via</t>
  </si>
  <si>
    <t>uud ujung ujung duit bisnis yg giur instal apkikasi  yg libat bisnis bisnis hp bisnis kuota canggih apa hp klo ga kuota wifi membleh bisnis aplikasi metode bayar bank</t>
  </si>
  <si>
    <t xml:space="preserve">aplikasi  pangkas beban perintah </t>
  </si>
  <si>
    <t xml:space="preserve">password klaim daftar qr code subsidi aplikasi </t>
  </si>
  <si>
    <t>install  ken pertama hati hehehe</t>
  </si>
  <si>
    <t xml:space="preserve">selamat juli lupa install </t>
  </si>
  <si>
    <t xml:space="preserve">beneran isi bensin pake </t>
  </si>
  <si>
    <t>baca habis karna keliru ga paham  kendara roda</t>
  </si>
  <si>
    <t>oke juli bintang  wkwk</t>
  </si>
  <si>
    <t xml:space="preserve">diam diam uji coba beli lpg kg wajib daftar </t>
  </si>
  <si>
    <t>min daftar aplikasi  eror ya kirim kode otp</t>
  </si>
  <si>
    <t>ayo pakai  sejahtera rakyat indonesia hargabahanpokok bahanpokokstabi stockbahanpokok bbmterkendali</t>
  </si>
  <si>
    <t>gak seru  bisa linkaja tok</t>
  </si>
  <si>
    <t>beli minyak pake app pedulilindungi beli pertalite pake app  beli rokok pake app udut aslinyusahinrakyat</t>
  </si>
  <si>
    <t>lawan aplikasi  kawan</t>
  </si>
  <si>
    <t xml:space="preserve">pertalite beli lpg kilogram pakai aplikasi </t>
  </si>
  <si>
    <t>gin yak pake ktp foto model kaya pinjol ajaaa isi bensin ribetin takut salah aja nih data udah pilpres pertalite daftarpertalite  sangebanget petronasmalaysiaopen haribhayangkarake</t>
  </si>
  <si>
    <t>install ulang aplikasi layan uang digital  aplikasi integrasi dgn aplikasi jenis linkaja jd utk transaksi beli bbm beli hrs dana linkaja penasaran program juli</t>
  </si>
  <si>
    <t xml:space="preserve">ngikutin </t>
  </si>
  <si>
    <t xml:space="preserve">resmi beli bbm </t>
  </si>
  <si>
    <t xml:space="preserve">uji coba beli pertalite pakai </t>
  </si>
  <si>
    <t>migor indonesia beli pake aplikasi peduli lindung beli pertalite mai wajib pakai  kar</t>
  </si>
  <si>
    <t>mbeli bensin mbuka jok isiin mmegang selang sori hrus pke  dik senyum gbs jalur ordal</t>
  </si>
  <si>
    <t>skeptis gtu ah laku  baik laku  manfaat kendali subsidi perintah bbm pertalite bbm yg subsidi perintah sasar</t>
  </si>
  <si>
    <t xml:space="preserve">spill donk dah beli bbm pakai aplikasi </t>
  </si>
  <si>
    <t xml:space="preserve">pt  persero resmi laku uji coba beli pertalite solar daftar  juli </t>
  </si>
  <si>
    <t>beli migor hrs pake ktp beli pertalite hrs pake aplikasi  klo rakyat aja super ketat gilir jabat</t>
  </si>
  <si>
    <t>met juli lupa donlot  alam isi bensin senang</t>
  </si>
  <si>
    <t>dibukaz zz daftar  beli pertalite</t>
  </si>
  <si>
    <t>udah isi pertalite pake  bestie</t>
  </si>
  <si>
    <t>duga aplikasi  kyk stupor</t>
  </si>
  <si>
    <t>kl kendara masuk kategori subsidi terbit qr code app  spbu liatin qrcode utk transaksi pake link cash</t>
  </si>
  <si>
    <t>ya udh klau ga motor ga install aplikasi  atuh drun org ga spbu</t>
  </si>
  <si>
    <t>pt  patra niaga buka daftar kendara identitas website  juli</t>
  </si>
  <si>
    <t xml:space="preserve">kendara pake motor teman gimana yak </t>
  </si>
  <si>
    <t>yg salah faham app  guna app daftar kendara jd daftar mobil  tentu qpakah kendara layak subsidi</t>
  </si>
  <si>
    <t xml:space="preserve">pt  patra niaga buka daftar kendara identitas website  juli daftar guna qr code beli bbm subsidi spbu </t>
  </si>
  <si>
    <t xml:space="preserve">bijak sosialisasi orang yg pinjam mobil teman saudara isi bensin bawa hp teman yg aplikasi </t>
  </si>
  <si>
    <t>pagi isi bensin udah gabisa pake debit pilih cash pake  kalo ga salah connect linkaja daftar gabisa verif nomor salah pdhl kode otp udah masuk hp monmaap kudu piye ahok</t>
  </si>
  <si>
    <t>laku  manfaat kendali subsidi perintah bbm pertalite aplikasi  mudah perintah memonitoring manfaat masyarakat</t>
  </si>
  <si>
    <t xml:space="preserve"> kocak jg kmrenan klo mo ngisi solar kudu cek plat nomer batas hari ltr udah lg rame  tbtb khusu roda yg daftar</t>
  </si>
  <si>
    <t>mari dukung bijak perintah salah kendali salur bbm subsidi tugas solar pertalite manfaat teknologi aplikasi  solusi efektif tekan beban uang negara salur subsidi bbm sasar</t>
  </si>
  <si>
    <t xml:space="preserve">info moga manfaat </t>
  </si>
  <si>
    <t>analyst ama decision maker sampe muncul  subsiditepat consider skenario gak yaa naikingajimasmbakspbu</t>
  </si>
  <si>
    <t>laku  manfaat kendali subsidi perintah bbm pertalite bbm bersubdisi salur solar pertalite sasar kuota</t>
  </si>
  <si>
    <t>masyarakat cemas beli bbm pakai  laku daerah jenis kendara</t>
  </si>
  <si>
    <t xml:space="preserve"> harga bbm mahal</t>
  </si>
  <si>
    <t>beli pertalite pake  gas kg gua guna pertamax sih wkwkwk gin ga sih sebenernya kalo ganti pake kartu ya kartu langsung hubung saldo apa yg aplikasi</t>
  </si>
  <si>
    <t>beli bensin pake  mingor pake pedulilindungi ehac aja msh amp msh apps buat perintah yg gw install saran sih enggak subsidi ram hp gitu klo install apps suruh kosong memori</t>
  </si>
  <si>
    <t>unduh aplikasi  loh coba deh keren laku  manfaat kendali subsidi perintah bbm pertalite manfaat poin yg  kendali subsidi yg bagus</t>
  </si>
  <si>
    <t>serius nanya spbu larang main hp beli pertalite pake  gapaham</t>
  </si>
  <si>
    <t xml:space="preserve"> ku pake grgr tante isi uang bensin linkaja jd kirim jalan proyek boi kudu rajin top up</t>
  </si>
  <si>
    <t>selamat pagi download  kah</t>
  </si>
  <si>
    <t>ledak tanggung  pertalite st of july</t>
  </si>
  <si>
    <t>perintah sebut sistem beli petralite solar aplikasi  juli batas beli kerjasamamembangunri</t>
  </si>
  <si>
    <t>simak metode bayar beli pertalite pakai  tempootomotif</t>
  </si>
  <si>
    <t>pakai aplikasi  bbm subsidi sasar data daftar verifikasi cocok sesuai syarat email notifikasi website</t>
  </si>
  <si>
    <t>bbm bersubdisi salur solar pertalite atur regulasi atur presiden no sk bph migas no  buka juli tuju subsidi sasar</t>
  </si>
  <si>
    <t>laku  manfaat kendali subsidi perintah bbm pertalite  nali konsumen pertalite lindung masyarakat hak nikmat bahan bakar subsidi</t>
  </si>
  <si>
    <t>solusi efektif tekan beban uang negara salur subsidi bbm sasar salah kendali salur bbm subsidi tugas solar pertalite manfaat teknologi aplikasi  mari dukung bijak perintah</t>
  </si>
  <si>
    <t xml:space="preserve"> error</t>
  </si>
  <si>
    <t>resiko tdk dlm otak ambil bijak lbh prog pedulilindung  sj yg pakai ambil uang korupsi</t>
  </si>
  <si>
    <t>terap aplikasi  kontrol salur bbm subsidi nilai amat energi bijak potensi blunder sulit masyarakat kelas tengah milik akses internet</t>
  </si>
  <si>
    <t>laku  manfaat utk kendali subsidi perintah bbm jenis pertalite sasar dg sistem  bantu utk cocok data guna amp lindung masyarakat yg hak nikmat bahan bakar subsidi</t>
  </si>
  <si>
    <t>rela uninstall call of duty mobile download  qntl nasib hp kentang</t>
  </si>
  <si>
    <t>fakta  utk terap baru  tuju gaes subsidi sasar identifikasi</t>
  </si>
  <si>
    <t>warga kota yogyakarta keluh bijak perintah wajib beli bahan bakar minyak bbm subsidi wajib pakai aplikasi  pertalite</t>
  </si>
  <si>
    <t>kalo udah download  utang negara lunas nya henteu anying</t>
  </si>
  <si>
    <t>yg masuk aplikasi  cc</t>
  </si>
  <si>
    <t>susah masuk  pagi</t>
  </si>
  <si>
    <t>thread  yok masyarakat cerdas info valid  utama tanggal juli daftar bkn pemb</t>
  </si>
  <si>
    <t>maksa pakai aplikasi  otak dengkul tdk timbang buruk bijak tolakaplikasip</t>
  </si>
  <si>
    <t>niat dapet point  tpi gabisa byr langsung app nya</t>
  </si>
  <si>
    <t>telepon nya pake wa alias buka app kaya  aja</t>
  </si>
  <si>
    <t>hot take on  app subsidi ngga pastiin aja nak sunmori motor sport cc motor trail kelas ngga isi pertalite kaya bijak ngga isi jerigen distribusi subsidi pakai konvensional</t>
  </si>
  <si>
    <t>ramai aplikasi  serang bintang bentuk kecewa rakyat</t>
  </si>
  <si>
    <t xml:space="preserve">pas bgt bensin abis tgl juli should download </t>
  </si>
  <si>
    <t xml:space="preserve">ayok mabar </t>
  </si>
  <si>
    <t xml:space="preserve">pom bensin gbleh idupin hp gas gmn deh dsruh pke </t>
  </si>
  <si>
    <t>gak ngerti spbu gak buka hp kalo skrg aplikasi  gak jd buka hp kayak pedulilindungi aja gimana ah piyeee</t>
  </si>
  <si>
    <t>gempar cap susah  review jelek google play netizen dukung jokowi ik</t>
  </si>
  <si>
    <t xml:space="preserve">wanjir </t>
  </si>
  <si>
    <t xml:space="preserve">atas salah sasar subsidi bbm  daftar verifikasi guna bbm subsidi website </t>
  </si>
  <si>
    <t xml:space="preserve">daftar beli pertalite buka simak daftar akun </t>
  </si>
  <si>
    <t>dateng pom bensin harap bayar pake  linkaja dll blm ambil duit plus watu pnh isi rb cashless der aa nya blm teh bayar pake linkaja scan qris bca min beli rb duh negara paribasa pgn canggih praktik ee</t>
  </si>
  <si>
    <t xml:space="preserve">pt  persero wajib guna bbm subsidi jenis pertalite solar daftar website </t>
  </si>
  <si>
    <t xml:space="preserve"> wawadukan</t>
  </si>
  <si>
    <t xml:space="preserve">  spbu aman laku panggil telepon beritasonora via</t>
  </si>
  <si>
    <t>beli bbm pakai  kritik pakar bangun aplikasi butuh</t>
  </si>
  <si>
    <t>beli jenis bahan bakar minyak bbm pertalite solar daftar juli situs  tuai resah masyarakat</t>
  </si>
  <si>
    <t>motor udah wajib pake  sih kalo isi pertalite</t>
  </si>
  <si>
    <t>wadooo  hpnya root ga neh</t>
  </si>
  <si>
    <t>halo kak bayar via tunai debit kredit card ya gak pake  linkaja</t>
  </si>
  <si>
    <t xml:space="preserve"> buka daftar kendara identitas website </t>
  </si>
  <si>
    <t>gimana si daftar  nomor daftar</t>
  </si>
  <si>
    <t xml:space="preserve">indah negriku beli bbm guna lpg kg wajib daftar </t>
  </si>
  <si>
    <t>udah donlot  gak login alhamdulillah hahaha</t>
  </si>
  <si>
    <t xml:space="preserve">msk sosialisasi </t>
  </si>
  <si>
    <t>sri mulyani sistem siap   subsidi bbm lpg sasara</t>
  </si>
  <si>
    <t>beli lpg kg pakai  maret alas perintah</t>
  </si>
  <si>
    <t>yg daftar  spbu databasenya simpan  sih yg kait sinkron database query yg spesific</t>
  </si>
  <si>
    <t>warga daftar web  layan spbu</t>
  </si>
  <si>
    <t>uji coba belia petralite bikin apps  error so typical deployment chaos</t>
  </si>
  <si>
    <t xml:space="preserve">proposal ukraina apk peduli lindung proposal russia apk </t>
  </si>
  <si>
    <t xml:space="preserve"> ungkap persen masyarakat bbm subsidi kalang kaya thephraseid  subsidibbm kebijakanpemerintah</t>
  </si>
  <si>
    <t xml:space="preserve"> nglag nya kaya whosfan</t>
  </si>
  <si>
    <t>yuk install  hargabahanpokok bahanpokokstabil stockbahanpokok bbmterkendali</t>
  </si>
  <si>
    <t>kritik guna aplikasi  pb hmi sulit rakyat dapat bbm</t>
  </si>
  <si>
    <t>memang pakai aplikasi  sinyal hp bingung</t>
  </si>
  <si>
    <t>woooyyy gmn nih  bom siapp ya</t>
  </si>
  <si>
    <t>simak ya sob lewat bingung tenang aja gausah panik ya sob  call sedia pandu tata daftar  call subsiditepat</t>
  </si>
  <si>
    <t>eh  gak laku jakarta</t>
  </si>
  <si>
    <t>dapat fee base income pakai aplikasi masuk uji coba  laku  solusi hp</t>
  </si>
  <si>
    <t xml:space="preserve">lupa daftar beli bbm pertalite aplikasi </t>
  </si>
  <si>
    <t>sederhana aj dl kt beli bensin diisiin bayar pake uang kelar cabut klw pake pertami</t>
  </si>
  <si>
    <t xml:space="preserve">malam jam buka menu sasar ga isi coba buka app nya crash na maha min </t>
  </si>
  <si>
    <t xml:space="preserve">thread nya </t>
  </si>
  <si>
    <t>beli bbm subsidi pakai  pks negara bikin repot rakyat</t>
  </si>
  <si>
    <t xml:space="preserve">gak tuh beli minyak daftar </t>
  </si>
  <si>
    <t xml:space="preserve">suruh pake </t>
  </si>
  <si>
    <t xml:space="preserve">please deh gitu </t>
  </si>
  <si>
    <t>beli pertalite beli gas kg jg daftar  gila rezim</t>
  </si>
  <si>
    <t xml:space="preserve">keren ya campaign app install nya </t>
  </si>
  <si>
    <t>beritajabar wilayah jabar uji coba daftar  pembelianbbmbersubsidi aplikasi wilayahjabar</t>
  </si>
  <si>
    <t>yg tubir tubir pertalite pake  minggir lo shell haji onh plus plus ape giname gan udah bulan hijrah pertamax gara shell migren harga</t>
  </si>
  <si>
    <t xml:space="preserve"> tegas guna  kendara roda</t>
  </si>
  <si>
    <t>tolong info jadi aneh aplikasi   pagi</t>
  </si>
  <si>
    <t>review aplikasi  banyak negatif</t>
  </si>
  <si>
    <t xml:space="preserve">milik smartphone sopir angkot keluh isi bbm aplikasi </t>
  </si>
  <si>
    <t>orang miskin beli lpg kg pakai  amat</t>
  </si>
  <si>
    <t>gak orang hp sis silah baca pakai  download qrcode nya tunjuk pd beli nb program uji coba beberapa lokasi</t>
  </si>
  <si>
    <t>sangka isi bbm spbu dapat agam untung aplikasi  hadir mudah bertransa</t>
  </si>
  <si>
    <t>bayar tunai debit gak link aja laku beli pertalite kendara roda mobil kalo beli pertamax pake  gak ya bebas pake banget gakpapa</t>
  </si>
  <si>
    <t xml:space="preserve">senjata gw kalo isi pertalite suruh buka </t>
  </si>
  <si>
    <t>jawab  bright gas pertamax guys yuk ikut sungai pancing ikan ikan bakar makan kenyang rules giveaway moga salah menang</t>
  </si>
  <si>
    <t>aplikasi  hajar mencret netizen rating anjlok htt</t>
  </si>
  <si>
    <t>kumpul bad review netizen  google apps</t>
  </si>
  <si>
    <t>beli elpiji kg pakai  realisasi</t>
  </si>
  <si>
    <t>wkwkwk aplikasi  cacad bet</t>
  </si>
  <si>
    <t>daftar bbm subsidi website  khusus roda thephraseid   pertalite</t>
  </si>
  <si>
    <t>gimana orang bandung ngisi bensin pake  nya lancar</t>
  </si>
  <si>
    <t>isi bensin pertalite buka aplikasi  handphone</t>
  </si>
  <si>
    <t>guna aplikasi  bayar datar nya via web tuju sih tuju subsisi sasar pertalite terima orang layak dapat tolong garis bawah</t>
  </si>
  <si>
    <t>iya emang salah salah urus negara wkwkwkwk  ribet pertalite</t>
  </si>
  <si>
    <t xml:space="preserve">pasal ayat bumi air kaya kandung dalam asai negara besar makmur rakyat </t>
  </si>
  <si>
    <t>gue pagi niat beli bensin tp  nya asu benerr ga verif</t>
  </si>
  <si>
    <t xml:space="preserve">kalo emang pake palikasi ya aplikasi nya benerin verifikasi udah coba kali kali tetep ga aneh pake aplikasi aplikasi nya ga bener beli pertamax kali ya </t>
  </si>
  <si>
    <t>beli bensin solar aplikasi  resmi pakai motor santai gausah buru daftar roda doang</t>
  </si>
  <si>
    <t>laku waspada aplikasi  palsu simak tata daftar website</t>
  </si>
  <si>
    <t>taun pake aplikasi  ga sih ribetnya isi walletnya linkaja pas bayar pake app ujung nya lari linkaja jg ga efektif amp susah yg ga biasa cashless</t>
  </si>
  <si>
    <t>aplikasi  terap utk beli bbm spbu celaka akibat hp area yg dikhabarkan picu bakar</t>
  </si>
  <si>
    <t>warga banjarmasin beli pertalite wajib pakai  warga banjarmasin beli gambut batola banjarbaru</t>
  </si>
  <si>
    <t xml:space="preserve">pertalite solar beli lpg kg aplikasi  merahputihcom lpg gas kg </t>
  </si>
  <si>
    <t>pagi jengkel aplikasi  verifikasi tolak udah bener masukinnya sinyal</t>
  </si>
  <si>
    <t>aplikasi  kasih bintang aja report rame ps bikin hidup susah aja hahaha</t>
  </si>
  <si>
    <t>aplikasi  launched tahun gak dowload make ya modal bangun apps susah rakyat golong susah</t>
  </si>
  <si>
    <t>dri pda bingung  mending angkot aja kyk dl</t>
  </si>
  <si>
    <t xml:space="preserve">beli pertalite pake </t>
  </si>
  <si>
    <t xml:space="preserve"> bijak beli pertalite pakai  batas kerjasamamembangunri</t>
  </si>
  <si>
    <t>klau sih kee peras paksa aplikasi  karna dapa untung mendownload aplikasi ngak aplikasi ngak layan</t>
  </si>
  <si>
    <t>lu yg pake  uda bahan uji coba ledak gk ledak mobil motor lu ketik ketik</t>
  </si>
  <si>
    <t>sob tahu nih edar aplikasi resmi  aplikasi  resmi download install google play store app store aplikasi resmi</t>
  </si>
  <si>
    <t>terap beli pertalite pakai  laku motor tempootomotif</t>
  </si>
  <si>
    <t>sistem beli pertalite solar aplikasi  juli batas beli kerjasamamembangunri kerjasamamembangunri</t>
  </si>
  <si>
    <t>hasil polling warganet tuju bijak beli pertalite amp solar wajib daftar  elshin</t>
  </si>
  <si>
    <t>kemarin nyobain beli bensin pakai app  dapat pompa self service gitu asyik sih asa negeri</t>
  </si>
  <si>
    <t>btw  gabisa verif sih bete</t>
  </si>
  <si>
    <t>amat  bikin aplikasi malam evaluasi sempurna</t>
  </si>
  <si>
    <t>kemarin nyobain beli bensin pakai app  dapat pompa self service gitu asyik sih asa negeri pas bayar pakai direct debit biaya rp mending pakai cash ga biaya admin wkwkwk</t>
  </si>
  <si>
    <t>udah install aplikasi  nih</t>
  </si>
  <si>
    <t xml:space="preserve">roundup juli beli pertalite solar daftar aplikasi </t>
  </si>
  <si>
    <t>tambah pake  khusus roda</t>
  </si>
  <si>
    <t>kayak rakyat kompak tolak pake  beli pertalite ahok gak becus kerja nyusahin rakyat sj</t>
  </si>
  <si>
    <t xml:space="preserve"> bijak beli pertalite pakai  batas kerjasamamembangunri kerjasamamembangunri</t>
  </si>
  <si>
    <t>kritik guna  pb hmi sulit rakyat dapat bbm</t>
  </si>
  <si>
    <t xml:space="preserve">pakai aplikasi </t>
  </si>
  <si>
    <t>mikirin  mending kirin</t>
  </si>
  <si>
    <t>min udah donlod  diplaystore gagal daftar nomor terdafatar daftar hubung call center trus gimana min solusi</t>
  </si>
  <si>
    <t xml:space="preserve"> orang kaya yg pro rezim pertalite mangsa predator mobil mewah</t>
  </si>
  <si>
    <t>perintah sistem beli pertalite solar aplikasi  juni batas beli kerjasamamembangunri</t>
  </si>
  <si>
    <t xml:space="preserve">mari simak rame himbauan dr menteri selamat mari ikut saran menteri </t>
  </si>
  <si>
    <t>tenang pertalite solar subsidi beli pakai uang tunai surabaya masyarakat jawa timur panik isu batas bbm subsidi    ekbis</t>
  </si>
  <si>
    <t xml:space="preserve">iyaa pake </t>
  </si>
  <si>
    <t>review aplikasi  banyak bintang ya</t>
  </si>
  <si>
    <t>bayar pakai cash debit urus milik spbu bayar pakai link aja ya urus pribadi konsumen bengsin pakai  linkaja niat kontrol liter ya fokus aja situ</t>
  </si>
  <si>
    <t>gila  data nik stnk foto kendara lengkap indonesia cuy bayangin kudu daftar  beli bensin mobil ngeri bocor aja dah emang tuju ckuakzzz</t>
  </si>
  <si>
    <t>mari nyala hp isi bbm sesuai arah  lihat akibat</t>
  </si>
  <si>
    <t>kalo  laku  untung kali jual bbm aplikasi bu</t>
  </si>
  <si>
    <t xml:space="preserve"> debut bijak beli pertalite pakak  batas kerjasamamembangunri</t>
  </si>
  <si>
    <t xml:space="preserve">roda yg mesti pake </t>
  </si>
  <si>
    <t>beli lpg pake  bilang era digital ktp lu noh suruh fotocopy anjg</t>
  </si>
  <si>
    <t>min sy guna aktif  tahun pagi isi bbm tp gak login ya</t>
  </si>
  <si>
    <t>juli kabar beli pertalite solar pake aplikasi  kendara roda mewah yg isi pertalite udah nemuin alphard vellfire yg ngisi pertalite full tank</t>
  </si>
  <si>
    <t xml:space="preserve">nahrawi noerdin bijak guna aplikasi  data salur bbm subsidi akurat </t>
  </si>
  <si>
    <t xml:space="preserve"> emang atur beli bengsin pakai  akomodir familiar dgn aplikasi bayar pakai linkaja kelola liter batas paymentnya dr</t>
  </si>
  <si>
    <t xml:space="preserve"> apk pinjam online percaya</t>
  </si>
  <si>
    <t xml:space="preserve"> eror ya</t>
  </si>
  <si>
    <t>salah bude grup keluarga fwd wa conspiracy theory linkaja aplikasi  yaa basically soal biaya admin ribu perak like dude komen gw si juarakk</t>
  </si>
  <si>
    <t>dah ngisi eeh gagal capedee wkwkwk yg dri aplikasi  gajelas dihubungkn link gk spbu tanyain mo pakek aplikasi jwab ptugasnya maaf hhhaaa</t>
  </si>
  <si>
    <t>perintah sistem beli pertalite solar aplikasi  juli batas beli kerjasamamembangunri kerjasamamembangunri</t>
  </si>
  <si>
    <t>selamat tanggal juli happy  day</t>
  </si>
  <si>
    <t>info loker barista yg gaji bayar kos bayar cicil kasih ortu topup  makan bulan nongki minggu</t>
  </si>
  <si>
    <t xml:space="preserve">orang orang jabodetabek ikut panic buying pertalite jabodetabek terapin sistem beli pertalite pake </t>
  </si>
  <si>
    <t>beritajabar kabar disdagin kota bandung aplikasi  pertalite disdaginkotabandung aplikasi bbmbersubsidi</t>
  </si>
  <si>
    <t>beli minyak goreng curah pakai aplikasi peduli lindung beli pertalite pakai aplikasi  sebentar beli beras pakai aplikasi sawah beli susu pakai aplikasi nenen beli popok pakai aplikasi kun kali yak ribettt</t>
  </si>
  <si>
    <t>pov buka  pas beli pertalite</t>
  </si>
  <si>
    <t>sebenernya gue bijak  gak ribet sih diutamain mobil gue gak bawa mobil kalo iya gue modal duduk aja gak ribet beli bensin</t>
  </si>
  <si>
    <t>iseng dftar  klo lg bandung udh masukin otp bener sampek kirim otp eeh muncul ginian moloo heran tp plat merah</t>
  </si>
  <si>
    <t>yaudah iya pake aplikasi  dahhhhhh biar bagi kalo motor udah daftar nih gimana pake linkaja anjing hp ledak banyak aplikasi</t>
  </si>
  <si>
    <t>uji coba  laku  solusi hp</t>
  </si>
  <si>
    <t xml:space="preserve">september jawa beli pertalite pakai </t>
  </si>
  <si>
    <t>komunikasi korporat pt  tegas  roda hati hati aplikasi resmi   komunikasikorporat communications corporate komunikasikita aplikasi pertalite solar bbm pom spbu berita news info</t>
  </si>
  <si>
    <t>beli elpiji kg aplikasi  kembang sistem</t>
  </si>
  <si>
    <t xml:space="preserve"> crash pas juli</t>
  </si>
  <si>
    <t xml:space="preserve">paksa uninstall bumble biar ruang download </t>
  </si>
  <si>
    <t>tenang pegendara motor wajib  beli pertalite klik baca</t>
  </si>
  <si>
    <t>beli migor gt nik peduli lindung apps beli pertalite gt  beli gas kg gt  inti dr bikin ribet</t>
  </si>
  <si>
    <t>tau maen ponsel spbu bahaya semenjak aplikasi  sungguh membagongk</t>
  </si>
  <si>
    <t xml:space="preserve">fasilitas spbu nya daerah aplikasi </t>
  </si>
  <si>
    <t>main hp spbu larang ne beli bbm pake  scan qr code emng gk pake hp</t>
  </si>
  <si>
    <t>pakai  mending beli bensin nunjukin stnk pajak kendara nya beli pertalite pajak kendara gede kendara mewah beli pertamax</t>
  </si>
  <si>
    <t>beli gas warung gua jg pake  yaa</t>
  </si>
  <si>
    <t xml:space="preserve">laku simak beli pertalite solar spbu </t>
  </si>
  <si>
    <t>pertalite beli gas lpg kilogram pakai  daftar rinciannya simak lengkap link pertalite   trending fyp fyp cari cari kenal populer</t>
  </si>
  <si>
    <t>rp hari endap wallet apk  big data</t>
  </si>
  <si>
    <t>fakta putar  baca paham sebar gaes</t>
  </si>
  <si>
    <t>piye wes nganggo  urung</t>
  </si>
  <si>
    <t xml:space="preserve">momen kasih  </t>
  </si>
  <si>
    <t>gimana si aplikasi  daftar aja susah</t>
  </si>
  <si>
    <t>yg tuju protes dgn bijak guna aplikasi  utk beli pertalite amp solar guna aplikasi</t>
  </si>
  <si>
    <t>ga motret motret spbu min pake hp boleh pake  doang</t>
  </si>
  <si>
    <t>beli bensin tuh mesti install  khusus yg beli pertalite amp solar pertamax</t>
  </si>
  <si>
    <t>rencana bijak beli bbm subsidi pertalite solar lpg kg laku juli aplikasi perta</t>
  </si>
  <si>
    <t>perintah sistem beli pertalite solar aplikasi  juli batas beli kerjasamamembangunri</t>
  </si>
  <si>
    <t>kali coba gagal sampe tahap verifikasi no ulang aplikasi   ulur keburu habis bensin kalo gin mah  yg hp nya gin gak gagal verifikasi mulu</t>
  </si>
  <si>
    <t>min instal  hp langsung mati hidup mati hidup uninstall hp normal ayo min baik apk nya pake masyarakat indonesia yok yok</t>
  </si>
  <si>
    <t>game slot gacor baru ma link daftar slot slotgacorhariini slotgame slotgacor slotgacor slotonline happy birthday uri leader haribhayangkarake sangebanget  jin waanjaiparty</t>
  </si>
  <si>
    <t xml:space="preserve"> isuk mah rek kieu weh ah</t>
  </si>
  <si>
    <t>beli bbm subsidi pakai  emang pertalite subsidi premium hapus</t>
  </si>
  <si>
    <t>tanggal juli nobat  selamat  nasional</t>
  </si>
  <si>
    <t>bingung tuh buka  nya pakai mesin ketik</t>
  </si>
  <si>
    <t>daftar  juli  beli pertalite solar via</t>
  </si>
  <si>
    <t>iya  hrs konekin link aja</t>
  </si>
  <si>
    <t>jaman digital beli bensin aplikasi  nama sih keluh masyarakat dgn aplikasi pedulilindungi kemarin buka cabang mgkn besok beli pentol ojek butuh verifikasi data</t>
  </si>
  <si>
    <t>kalo ga aplikasi  gimana qaqa nih daftar juli web jgn lg</t>
  </si>
  <si>
    <t xml:space="preserve"> brengsek</t>
  </si>
  <si>
    <t xml:space="preserve"> bijak beli pertalite pakai  batas serah pandang wajah orang orang gantung ikut diri kerjasamamembangunri</t>
  </si>
  <si>
    <t>mall pake peduli lindung beli minyak goreng pakai ktp beli bensin lpg pakai  giir</t>
  </si>
  <si>
    <t>baca kalimat subsidi sasar mata yg nama subsidi ya warga miskin klo pake  android yg apknya update trus beli kuota internet</t>
  </si>
  <si>
    <t xml:space="preserve">juli instal </t>
  </si>
  <si>
    <t>bangke ni aplikasi  bener bener nyusahin bgst</t>
  </si>
  <si>
    <t>beli pertalite solar aplikasi  tempootomotif</t>
  </si>
  <si>
    <t xml:space="preserve"> kyk tentu tentang ga sih area ga tlp seluler ya ga smua warga guna motor pake smart phone pakde bude bpk kampung tuh ngerti android bpk yg tinggal kota blm aplikasi</t>
  </si>
  <si>
    <t xml:space="preserve">bye june welkam </t>
  </si>
  <si>
    <t>ratingnya  langsung anjlok ygy</t>
  </si>
  <si>
    <t xml:space="preserve">nyari duit beli gas kg nya susah gmn ngga hp buka </t>
  </si>
  <si>
    <t xml:space="preserve">wilujeng enjing ayeuna meuli bengsin teu make duit make aplikasi wawadukan anyiiir </t>
  </si>
  <si>
    <t>selamat pagi manusia manusia kuaat kuat juli yaa terimakasihjuni  ukraina putin madu madutrigona maduklanceng</t>
  </si>
  <si>
    <t>beli bbm pake aplikasi diam beli gas kg aplikasi aplikasi  klik dpt duit rakyat klik buka habis duit kuota rezimsusahinrakyat</t>
  </si>
  <si>
    <t>coba download  daftar udah disuru login ulang udah reset password kek gin piyee iki</t>
  </si>
  <si>
    <t xml:space="preserve">pertalite solar perintah rencana batas beli lpg kg aplikasi </t>
  </si>
  <si>
    <t>bandung kota tolak warga kota bandung tolak beli pertalite pakai aplikasi  co</t>
  </si>
  <si>
    <t>jasa hack akun instagram whatsapp facebook twitter gmail sangebanget haribhayangkarake  pemiliksahamlepastangan tidur zonajajan zonauang zonaba ademkilicci afllionsdogs hamzashehbaz petronasmalaysiaopen imranriazkhan</t>
  </si>
  <si>
    <t>wkkwkwk down nih  otp dah autofill dr message salah mulu</t>
  </si>
  <si>
    <t>gimanaa sih app  dr kmrn daftar gabisaa mulu</t>
  </si>
  <si>
    <t>ungkap alas batas beli bbm subsidi  sindonews opsiin</t>
  </si>
  <si>
    <t>juli brarti kudu download  ne ben iso beli pertalite solar goceng</t>
  </si>
  <si>
    <t xml:space="preserve"> sulit mudah</t>
  </si>
  <si>
    <t xml:space="preserve">sekretaris usaha  patra niaga irto ginting terap syarat beli elpiji kilogram kg masyarakat aplikasi </t>
  </si>
  <si>
    <t xml:space="preserve">kabar zelenky kurang bahan bakar install aplikasi </t>
  </si>
  <si>
    <t>aplikasi  pagipagi bikin emosi otp udah masuk eh nyuruh mastiin nomor sesuai pan eta ges asup</t>
  </si>
  <si>
    <t>beli pertalite pakai  bukti negara atur susah rakyat</t>
  </si>
  <si>
    <t>kasih bintang aja aplikasi  playstore end gak tuh</t>
  </si>
  <si>
    <t>daftar  looping verifikasi otp kirim via sms tp pas verifikasi app bilang pasti nomor yamg masuk blablabla</t>
  </si>
  <si>
    <t xml:space="preserve">wkwkw sampah bgt </t>
  </si>
  <si>
    <t xml:space="preserve">daftar website  subsiditepat </t>
  </si>
  <si>
    <t>wajib daftar beli pertalite aplikasi  banjir review jelek google play store</t>
  </si>
  <si>
    <t>apasih ni  nomor otp udah bener tp msh failed</t>
  </si>
  <si>
    <t>link  aja rakyat kopat kapet</t>
  </si>
  <si>
    <t>orang misqueen teriak sok kaya pake aplikasi  bingung</t>
  </si>
  <si>
    <t>aplikasi  hajar mencret netizen rating anjlok</t>
  </si>
  <si>
    <t>barusan daftar  pas masukin kode verifikasi eror udah heeyy gua isi bensin niih pagi</t>
  </si>
  <si>
    <t>say no to  rakyat susah susah rkuhp senjatapembungkam</t>
  </si>
  <si>
    <t>guna motor daftar  beli pertalite nyata mendag zulhas harga tbs sawit berita populer kumparanbisnis</t>
  </si>
  <si>
    <t>masuk pake  ga</t>
  </si>
  <si>
    <t>pa jokowi tolong batal bijak beli bbm  mentusahkan masyarakay</t>
  </si>
  <si>
    <t xml:space="preserve">wajib aplikasi guna mobil transaksi dukung bijak baik manajemen spbu perangkat agara error wifi gratis khusus </t>
  </si>
  <si>
    <t>syarat beli pake aplikasi  tindak diskriminasi masyarakat guna pertalite</t>
  </si>
  <si>
    <t xml:space="preserve">spbu gaboleh main hp wkwkwk besok larang gt gaboleh main hp kecuali buka </t>
  </si>
  <si>
    <t>bbrp kali coba isi bensin pake  error mulu pomnya</t>
  </si>
  <si>
    <t>motor daftar  website tutur brasto galih nugroho area</t>
  </si>
  <si>
    <t>pertalite solar perintah rencana batas beli lpg kg aplikasi  la</t>
  </si>
  <si>
    <t xml:space="preserve"> cekidot</t>
  </si>
  <si>
    <t xml:space="preserve">yah ngebug masuk udh mental lg biasa dah klo pake aplikasi perintah </t>
  </si>
  <si>
    <t>aplikasi  juli kerjasamamembangunri</t>
  </si>
  <si>
    <t>perintah sebut sistem beli pertalite solar aplikasi  tanggal juli batas beli kerjasamamembangunri</t>
  </si>
  <si>
    <t>juli sistem beli pertalite solar aplikasi  kerjasamamembangunri</t>
  </si>
  <si>
    <t xml:space="preserve"> sebut bijak beli pertalite pakai  batas kerjasamamembangunri</t>
  </si>
  <si>
    <t>perintah sistem beli pertalite jg solar aplikasi  yg juli kerjasamamembangunri</t>
  </si>
  <si>
    <t xml:space="preserve"> info kebijaksn pakai  batas ya gaes kerjasamamembangunri</t>
  </si>
  <si>
    <t>ya gaes sistem beli pertalite solar aplikasi  laku juli batas beli ya kerjasamamembangunri</t>
  </si>
  <si>
    <t>perintah sebut sistem beli pertalite solar aplikasi  juli batas beli kerjasamamembangunri</t>
  </si>
  <si>
    <t>beli bbm subsidi pake  utu khusus guna roda knp pake motor antri dr kemaren masyarakat minim literasi lupa baca buku</t>
  </si>
  <si>
    <t xml:space="preserve">juli beli bensin pkai </t>
  </si>
  <si>
    <t>beli pertalite amp solar pake  beli tabung gas kg amp migor curah pake pedulilindungi eh gilir milu bangsa kotak suara pake kardus gembok pe ak</t>
  </si>
  <si>
    <t xml:space="preserve"> pajero fortuner phanter truk bus traktor larang keras isi pertalite</t>
  </si>
  <si>
    <t xml:space="preserve">sekretaris usaha  patra niaga irto ginting terap syarat beli elpiji subsidi masyarakat platform </t>
  </si>
  <si>
    <t>daftar bbm subsidi website  khusus roda sindo news opsiin</t>
  </si>
  <si>
    <t xml:space="preserve">ngisi data eh gin </t>
  </si>
  <si>
    <t>visualisasi  pake motor  cuman roda tolol animator indonesia iki</t>
  </si>
  <si>
    <t>inget july wajib beli pertalite pake aplikasi  kendara roda warga miskin yg minim literasi gausah banyak bacot miskin bodoh</t>
  </si>
  <si>
    <t>bacot ngisi pake  login suruh mulu bngst</t>
  </si>
  <si>
    <t xml:space="preserve">juli  buka daftar beli pertalite </t>
  </si>
  <si>
    <t>aamiin guna pertalite solar lupa daftar subsiditepat  yah</t>
  </si>
  <si>
    <t xml:space="preserve">teu kedah nganggo aplikasi </t>
  </si>
  <si>
    <t>geger applikasi  ratingnya netizen jeblok netizen aplikasi  unfaedah atas</t>
  </si>
  <si>
    <t>beli pertalite daftar  amat masyarakat beli pertamax rakyat merasrakyat rakyat merasrakyat rakyat merasrakyat rakyat merasrakyat</t>
  </si>
  <si>
    <t>cari informasi yg valid jgn bikin argumen kait  ya bagusbgt spbu booth offline bant</t>
  </si>
  <si>
    <t>rkuhp dikit sah bener bener tutup ama  presiden ukraina wapres ngomongin ganja</t>
  </si>
  <si>
    <t xml:space="preserve">tolong leceh nista menyingung resah tolong tindak putin pemiliksahamlepastangan </t>
  </si>
  <si>
    <t xml:space="preserve">coba gimana pakai hp spbu </t>
  </si>
  <si>
    <t xml:space="preserve">duhhhh gasabar ngisi bensin gta pake </t>
  </si>
  <si>
    <t>berita gembira beli pertalite pake  beli pertalite pake rupiah</t>
  </si>
  <si>
    <t xml:space="preserve">oh iya kemarin sore bunderan tki penuh bgt penuh arah pom bensin gara gara  ya yg udah nyoba beli pake </t>
  </si>
  <si>
    <t>suruh deposit top up link aja dgn biaya adm rp top up beli bbm yg subsidi coba kali dapat transaksi biaya adm yg rp top up link aja oleh developer  tsb</t>
  </si>
  <si>
    <t>heboh ya nggak cari fakta fakta  tanggal juli coba deh cari nyinyir wae</t>
  </si>
  <si>
    <t>daftar  beli pertalite cuman milik kendara roda kendara roda nggak daftar kemarin koar fess milik motor</t>
  </si>
  <si>
    <t xml:space="preserve">alat sehat wajib rumah serta fungsi tensimeter termometer glukometer pulse nebulizer amp inhaler download aplikasi obat google playstore edukasi amp konsultasi obat </t>
  </si>
  <si>
    <t>kalo daftar  instal link aja gak mikir orang pake hp memori gb sisa memori kall instal hapu aplikasi</t>
  </si>
  <si>
    <t>selamat pagi lupa download aplikasi  ya selamat antri</t>
  </si>
  <si>
    <t>buzzer  resah</t>
  </si>
  <si>
    <t xml:space="preserve">gara  bikin susah ga tagar boikot ya kompetitor </t>
  </si>
  <si>
    <t>blunder perintah banget sah uud isi absurd penting orang tambah apk  maksud sih</t>
  </si>
  <si>
    <t>yg gua sanggah kayak ngarang deh gua biarpun jarang males pake  gaada nama biaya tambah beli harga liter ya kena harga liter gaada tambah peser kalo review jelek ya gapapa mbok yg objektif indonesia banget dah</t>
  </si>
  <si>
    <t xml:space="preserve">main hp larang spbu beli pertalite pakai aplikasi </t>
  </si>
  <si>
    <t xml:space="preserve"> ribet beli ya ecer aja gampang</t>
  </si>
  <si>
    <t>simpel cipta bahagia chico dokter  last anime ve lontong psikologi</t>
  </si>
  <si>
    <t>jakarta blm provinsi uji coba tgl juli tambah mobil isi bensin pakai  santai aja suruh install skrng</t>
  </si>
  <si>
    <t>temen tongkrong main mobile legend aja gua ga ikut instal mobile legend gara memori hp penuh suruh instal  fuck no</t>
  </si>
  <si>
    <t xml:space="preserve">beli pertalite solar spbu tanoa samrtphone bawa print out barcode </t>
  </si>
  <si>
    <t>horeee motor lolos aplikasi  kecuali</t>
  </si>
  <si>
    <t>beli bbm wajib pakai  ade hartati jaga komitmen integritas</t>
  </si>
  <si>
    <t>bijak keluar aplikasi  sulit awas distribusi minyak subsidi pert</t>
  </si>
  <si>
    <t>fyi subsidi sasar juli  buka daftar website  daftar yayayayya</t>
  </si>
  <si>
    <t>subsidi sasar juli  buka daftar website  efektif praktis</t>
  </si>
  <si>
    <t>populer money beli elpiji kg pakai  kerja baik indonesia</t>
  </si>
  <si>
    <t>subsidi sasar juli  buka daftar website  wajib banget daftar nih</t>
  </si>
  <si>
    <t>hiswana migas nilai  data salur bbm akurat</t>
  </si>
  <si>
    <t xml:space="preserve"> review jelek kekeuh</t>
  </si>
  <si>
    <t>beli pertalite daftar  laku mobil motor</t>
  </si>
  <si>
    <t>udah tau bom subsidi sasar juli  buka daftar website  daftar langsung nih</t>
  </si>
  <si>
    <t xml:space="preserve">komen baca nih fakta putar </t>
  </si>
  <si>
    <t>perintah rencana masyarakat beli lpg kg aplikasi  upaya dilakuka</t>
  </si>
  <si>
    <t xml:space="preserve">ayoo daftar subsidi sasar juli  buka daftar website </t>
  </si>
  <si>
    <t>beli pertalite solar wajib pakai  simak daftar tempografis</t>
  </si>
  <si>
    <t xml:space="preserve">rekomendasi heels kondangan nikah acara formal cangtips thread azzam holywings </t>
  </si>
  <si>
    <t>lansir akun instagram resmi  juni beli bbm subsidi daftar pertam</t>
  </si>
  <si>
    <t>sih dukung banget subsidi sasar juli  buka daftar website  langkah yg</t>
  </si>
  <si>
    <t>for your info subsidi sasar juli  buka daftar website  loh</t>
  </si>
  <si>
    <t>nder fakta putar  baca paham sebar gaes</t>
  </si>
  <si>
    <t>subsidi sasar juli  buka daftar website  mantap moga sukses</t>
  </si>
  <si>
    <t>daftar bbm subsidi website  khusus roda bal</t>
  </si>
  <si>
    <t>argumen argumen orang ga efektif guna  gaakan dipeduliin nunggu yg ledak</t>
  </si>
  <si>
    <t xml:space="preserve">lupa daftar </t>
  </si>
  <si>
    <t>subsidi sasar juli  buka daftar website  patut dukung nih guys</t>
  </si>
  <si>
    <t>beli bensin pakai aplikasi  music musik poetry poem puisi pantun nature</t>
  </si>
  <si>
    <t xml:space="preserve"> pedulilindungi super app</t>
  </si>
  <si>
    <t>daftar  pake trek mobil ya kalo beli pertilit</t>
  </si>
  <si>
    <t xml:space="preserve">bneran kudu install </t>
  </si>
  <si>
    <t>rame kampanye aman hp spbu bijak apps  larang tiada</t>
  </si>
  <si>
    <t>bokap gua hpnya ga install  pertamini</t>
  </si>
  <si>
    <t>lupa akun linkaja gue sebel gara install app  memoriiii argh</t>
  </si>
  <si>
    <t>indonesia minyak goreng mahal inggris amp eropa tuang ribu ton minyak goreng bahan bakar kendara hargameroketmendagkaget minyakuntukkita  minyakgoreng waanjaiparty</t>
  </si>
  <si>
    <t>klo mo masuk surga dftr  ga</t>
  </si>
  <si>
    <t>aplikasi  laku milik mobil motor mewah pribadi kalo isi bbm subsidi kadang ngisi sampe full tank kalo elu motor isi bbm subsidi ribu kagak pake aplikasi   anjg</t>
  </si>
  <si>
    <t>beli pertalite pakai  tahap sosialisasi</t>
  </si>
  <si>
    <t>terap aplikasi  juli namu sayang rating aplikasi  playstore bintang ulas bintang kritik aplikasi salah ulas susah registrasi</t>
  </si>
  <si>
    <t>aplikasi  laku milik mobil motor mewah pribadi kalo isi bbm subsidi kadang ngisi sampe full tank kalo elu motor isi bbm subsidi ribu kagak pake aplikasi   gblk</t>
  </si>
  <si>
    <t>maju pertamin berantas maling bbm subsidi  mobil roda jaga bbm subsidi sasar tanggung</t>
  </si>
  <si>
    <t>ehh aplikas  gajadi yaaaa</t>
  </si>
  <si>
    <t>pombensin gabole main henpon disuru pake app  toooood hahahaha bayar pake qr aja udah aneh saaatt</t>
  </si>
  <si>
    <t xml:space="preserve">aplikasi  laku milik mobil motor mewah pribadi kalo isi bbm subsidi kadang ngisi sampe full tank kalo elu motor isi bbm subsidi ribu ga pake aplikasi  </t>
  </si>
  <si>
    <t>aplikasi  laku milik mobil motor mewah pribadi kalo isi bbm subsidi kadang ngisi sampe full tank kalo elu motor isi bbm subsidi ribu ga pake aplikasi   knyk</t>
  </si>
  <si>
    <t>aplikasi  laku milik mobil motor mewah pribadi kalo isi bbm subsidi kadang ngisi sampe full tank kalo elu motor isi bbm subsidi ribu ga pake aplikasi   kntl</t>
  </si>
  <si>
    <t>daftar  beli pertalite solar</t>
  </si>
  <si>
    <t>perintah gaptek boomer cuman arogan ajar mau sok an takluk teknologi pedulilindungi  ktp sok an blokir main ott main wa twitter ig youtube</t>
  </si>
  <si>
    <t>denger denger beli pecel lele musti daftar  iya</t>
  </si>
  <si>
    <t xml:space="preserve">besok masyarakat dg daftar </t>
  </si>
  <si>
    <t xml:space="preserve">masyarakat ulai juli beli bbm pake aplikasi </t>
  </si>
  <si>
    <t>juli provinsi terap beli pertalite solar  tam</t>
  </si>
  <si>
    <t>pakai  duit fisik gak laku bayar via linkaja distribusi bbm spbu klo lpg beli</t>
  </si>
  <si>
    <t>mantab dech nkri beli gas kg wajib daftar  ambyar</t>
  </si>
  <si>
    <t>besok  laku daerah orang kaya dominasi pakai pertalite</t>
  </si>
  <si>
    <t>rp hari endap wallet apk  big data big money hitung kalkulator</t>
  </si>
  <si>
    <t xml:space="preserve">bayar pertalit ngakk bang ituu app </t>
  </si>
  <si>
    <t>percaya tiada musibah uji kekal tiada sedih airmata kekal bakri putin terimakasih juni jordi  vito sholat fearless malam jumat meluruntukfirdaus</t>
  </si>
  <si>
    <t>bulu mata jatuh takdir allah rindu malam jumat  me</t>
  </si>
  <si>
    <t xml:space="preserve"> apps pantau bbm subsidi sasar</t>
  </si>
  <si>
    <t>alun al kahfi malam moga allah rahmat jalan bakri putin terimakasih juni jordi  vito sholat fearless malam jumat tvn eve st of july</t>
  </si>
  <si>
    <t>orang cerdas perang hawa nafsu menang taat tuhan munif chatib maljum malam jumat julia roberts sekjen pbb  putin malamjumat</t>
  </si>
  <si>
    <t>wajar hati manusia ubah management lepas tangan jordi first kdrama  malam jumat fearless bniwajibdiaudit jin</t>
  </si>
  <si>
    <t>jawab  pertamax bright gas tebakanasik yuk like follow ikut kuis</t>
  </si>
  <si>
    <t>retweet postingan wajib download aplikasi  linkaja akun private ya sob period</t>
  </si>
  <si>
    <t>me lupa hilang redha ikhlas gaess allah kembaliin aja bakri putin terimakasih juni jordi  vito sholat fearless malam jumat meluruntukfirdaus</t>
  </si>
  <si>
    <t>download  isi data hrs download linkaja yg alat pembayaranya isi data topup saldo ga mudah yg bayang</t>
  </si>
  <si>
    <t>allah baik management lepas tangan jordi first kdrama  malam jumat fearless bniwajibdiaudit jin</t>
  </si>
  <si>
    <t xml:space="preserve">gta pake fitur </t>
  </si>
  <si>
    <t>iman kuat uji berat karna hebat tuhan jaga bakri putin terimakasih juni jordi  vito sholat fearless malam jumat tvn eve boycottisrael</t>
  </si>
  <si>
    <t>hidup tenteram uang bahagia uang susah kh maimoen zubair malam jumat iriana sekjen pbb  maljum</t>
  </si>
  <si>
    <t>buka lap kerja joki  dkt spbu joki  lbh laku drpd buka pertamini</t>
  </si>
  <si>
    <t xml:space="preserve">meme  semuabisakena </t>
  </si>
  <si>
    <t>beli pertalite milik apps  jg link aja yg deposit dana via atm or apps banking deposit dana via kartu debit sedia fuck beli bbm aja ribet</t>
  </si>
  <si>
    <t>guna  beli pertalite akal an perintah orang link aja nyari apps  ga kode qr code scan edc spbu kecuali qr code bayar yg hubung link aja</t>
  </si>
  <si>
    <t>main hp larang spbu bayar bbm suruh pakai  project sesat kah</t>
  </si>
  <si>
    <t>knpa app  ga pasang pom nya aja il ko konsumen ga ngebug pke juta org</t>
  </si>
  <si>
    <t>yaa setan wujud malam jumat  merem julia roberts cimahi jin pemiliksahamlepastangan first kdrama</t>
  </si>
  <si>
    <t>orang butuh subsidi awam aplikasi  heck hpnya ga support appnya konvensional resiko ga tertib jamin online tertib tidak oknum letsreconsider</t>
  </si>
  <si>
    <t>bulu mata jatuh takdir allah rindu malam jumat  merem julia roberts cimahi jin pemiliksahamlepastangan first kdrama</t>
  </si>
  <si>
    <t>tekan sedia ruang sandar malam jumat  merem julia roberts cimahi jin pemiliksahamlepastangan first kdrama</t>
  </si>
  <si>
    <t>juli daftar beli pertalite solar  buka  aplikasi kementerianesdm bbmsubsidi pertalite solar</t>
  </si>
  <si>
    <t xml:space="preserve">negara tua tua atur langgar uji hasil zonk susah rakyat jadi salah </t>
  </si>
  <si>
    <t>coba install aplikasi  bingung beli integrasi</t>
  </si>
  <si>
    <t>harap henti mekanisme beli bbm subsidi daftar aplikasi  blm</t>
  </si>
  <si>
    <t>info apk mod  unlimited money</t>
  </si>
  <si>
    <t xml:space="preserve">sambut cinta tiga malam tahajjud sholat cimahi malam jumat putin </t>
  </si>
  <si>
    <t>buka  pencet flash hape</t>
  </si>
  <si>
    <t xml:space="preserve">sujud sungguh tolong allah jarak kening sajadah sholat cimahi malam jumat putin </t>
  </si>
  <si>
    <t>kasi bintang aplikasi  penjara</t>
  </si>
  <si>
    <t>bijak spbu pakai  goblok tolol larang pakai hp di bahaya</t>
  </si>
  <si>
    <t>mode  beli bengsin ecer botol</t>
  </si>
  <si>
    <t>sebenernya ngga app  bayar pake tunai yg sebenernya khawatir orang</t>
  </si>
  <si>
    <t xml:space="preserve">tajam kata ibu ajar bicara ali bin abi thalib sholat cimahi malam jumat putin </t>
  </si>
  <si>
    <t xml:space="preserve">welkom juli selamat menginstall </t>
  </si>
  <si>
    <t>beli bbm subsidi aplikasi  coba</t>
  </si>
  <si>
    <t>sebenernya perintah ngeluarin  biar masyarakat tetep mocking perintah kena aa uu aa uu</t>
  </si>
  <si>
    <t>kesel bacain tweetan orang  gamau cari info yg valid amp resmi marah sih info yg gak lebar mana coba kota kendara tunai non tunai pake qris</t>
  </si>
  <si>
    <t xml:space="preserve">gas kg beli pakai </t>
  </si>
  <si>
    <t>marmut ovt ttg bijak  yg kota yogyakarta tuh kota doang diy wkwkwkwkwkwkwk</t>
  </si>
  <si>
    <t>malam jumat lupa al kahfi yaa bakri putin terimakasih juni jordi  bniwajibdiaudit vito fearless malam jumat tvn eve</t>
  </si>
  <si>
    <t>september gilir jawa beli pertalite pakai  sindonews bukanberitabiasa</t>
  </si>
  <si>
    <t xml:space="preserve">visualisasi isi bengsin pake </t>
  </si>
  <si>
    <t xml:space="preserve">nga meledug ngisi pertalite buka </t>
  </si>
  <si>
    <t>yg kudu beli pake  pertalite doang pertamax jg ges mlz googling banyak portal berita isi iklan kudu ne kalo mo baca alias gabisa baca</t>
  </si>
  <si>
    <t>lha lapo kudu atek  gaoleh hapean lek nang spbu yoopo</t>
  </si>
  <si>
    <t xml:space="preserve">biarpun sholatmu ibu ribu sedekah juta juta kau gores luka hati ibu surga milik sholat cimahi malam jumat putin </t>
  </si>
  <si>
    <t>daftar bbm subsidi website  khusus mobil</t>
  </si>
  <si>
    <t xml:space="preserve">untung jkt blm wajib </t>
  </si>
  <si>
    <t xml:space="preserve">day orang orang make </t>
  </si>
  <si>
    <t xml:space="preserve">enak aja pake </t>
  </si>
  <si>
    <t xml:space="preserve"> rwt</t>
  </si>
  <si>
    <t>kak kalo ttp bayar pake  ttp kdg kl pake  diskon gitu jd murah drpd bayar pake cash</t>
  </si>
  <si>
    <t>netizen indonesia lawan aplikasi  bombardir review ulas bintang netizen</t>
  </si>
  <si>
    <t>uaf yg pdg udh ad yg isi minyak  emng udh laku pke aplikasi  kah uaf</t>
  </si>
  <si>
    <t>rencana bijak beli bbm subsidi pertalite solar lpg kg laku juli aplikasi pert</t>
  </si>
  <si>
    <t>hai sobat informasi data kendara sila sobat ketik manual menu merk kendara aplikasi  kendala sila melaui dm ya tks gio</t>
  </si>
  <si>
    <t xml:space="preserve">informasi aja sedia jan gak blas lekmu gawe aplikasi respon masyarakat gak dukung bubarno ae lho aplikasine developer tutup mata tutup telinga gak gelem kritik kongkon resign ae guwak nang peceren </t>
  </si>
  <si>
    <t xml:space="preserve">july st selamat coba </t>
  </si>
  <si>
    <t xml:space="preserve">udh tgl juli nih udh install </t>
  </si>
  <si>
    <t>gaada yg aplikasi  mod</t>
  </si>
  <si>
    <t>suami coba daftar akun  gagal nomor hpnya daftar aja inget tolong register akun mas pegawai spbu pas udah login doi shock lihat nama akun mas wkwk</t>
  </si>
  <si>
    <t xml:space="preserve"> kode qr  atas curang takar bbm</t>
  </si>
  <si>
    <t>nanggung bikin fitur  paylater</t>
  </si>
  <si>
    <t xml:space="preserve">tgl ko daftar </t>
  </si>
  <si>
    <t>daftar  udah pake sistem ketik reg spasi lagi</t>
  </si>
  <si>
    <t>logika download aplikasi  jt untung aplikasi minimal jt orang guna minimal kali hari sama jt guna kisar untjng rp guna untung</t>
  </si>
  <si>
    <t>tt aplikasi  guna hp huawei yg tdk google service nya playstore nya sulit instal pakai phone clone login aplikasi solusi</t>
  </si>
  <si>
    <t>gw inget main hp pom bensin ga ya klo yg download  gimana ya ya gw aja sih dagel</t>
  </si>
  <si>
    <t>kalo emang bekas kota isi bensin mesti pake  rela dah kabupaten</t>
  </si>
  <si>
    <t>sukabumi daftar  tugas beli bingung</t>
  </si>
  <si>
    <t>aplikasi  rating jelek playstore aplikasi  banjir komentar jelek google playstore guna bintang aplikasi gadget aplikasi  rating</t>
  </si>
  <si>
    <t>shell go vs  jek tas download</t>
  </si>
  <si>
    <t>barusan jm mo beli pertalite sulit mlh promosi  ha nunggu download ngko yo selak mbledos pom</t>
  </si>
  <si>
    <t>wkwkw instal  gapapa ya</t>
  </si>
  <si>
    <t>rame ngomongin  bahas ah server nahan gak ya rps yg masuk</t>
  </si>
  <si>
    <t>mbeli bensin mbuka jok isiin mmegang selang sori hrus pke  dik senyum gbs jalur ordal mnggeleng gk bs dik hrus pkek  tsenyum dr pd  mnding km jd pertama akhir mas woww ngegay</t>
  </si>
  <si>
    <t>gk donlot  sie</t>
  </si>
  <si>
    <t>beli bahan bakar minyak bbm pakai aplikasi  salur bbm subsidi tep</t>
  </si>
  <si>
    <t>aplikasi  banjir review bintang</t>
  </si>
  <si>
    <t xml:space="preserve">pt  patra niaga buka daftar kndaraan identitas website  juli daftar guna qr code beli bbm subsidi spbu </t>
  </si>
  <si>
    <t xml:space="preserve">lo beli pertalite pake </t>
  </si>
  <si>
    <t>bgt yg kudu make aplikasi pertalite kudu pake  minyak pake pedulilindungi sekian bijak gue suka apk yg octopus apk daur ulang aplikasi</t>
  </si>
  <si>
    <t>bingung beli pertalite solar subsidi  simak fakta</t>
  </si>
  <si>
    <t xml:space="preserve">juli beli bensin spbu  wajib aplikasi   tentu uji coba laku kota baca artikel lengkap satuviral satuberitasejutaviral beritaviral  </t>
  </si>
  <si>
    <t xml:space="preserve">terus upaya guna aplikasi </t>
  </si>
  <si>
    <t>sebentar laku beli pertalite  tinggal tunggu berita aja spbu yg ledak bijak moga korban jiwa bisnis spbu  cepet deh asuransiin usaha spbu nya</t>
  </si>
  <si>
    <t>aplikasi  coba daftar gabisa ya</t>
  </si>
  <si>
    <t>bagus kah aplikasi  asa ratingnya jelek maksa dah bikin ribet bangettt</t>
  </si>
  <si>
    <t xml:space="preserve"> anggap repot sopir angkot susah susah</t>
  </si>
  <si>
    <t xml:space="preserve">masuk toilet spbu  daftar </t>
  </si>
  <si>
    <t>alas  pilih website  beli bbm pertalite bojonegoro pt  persero  patra niaga sub holding commercial amp trading bbmsubsidi beritajatim  beritamigas</t>
  </si>
  <si>
    <t>opsi pake kartu debit yg hubung aplikasi  kartu debit yg dukung bank bumn yg harap calon nasabah yg buka rekening tabung bank tsb</t>
  </si>
  <si>
    <t xml:space="preserve">linkaja otomatis langgan hrs isi ulang saldo mana saldo endap yg untung linkaja bayang rp aja dana endap kali sekian juta guna </t>
  </si>
  <si>
    <t xml:space="preserve">aplikasi kuota gilir byr bbm nya gimana opsi byr linkaja kartu debit yg nya hubung dg aplikasi </t>
  </si>
  <si>
    <t>masyarakat wajib aplikasi  isi bbm jenis guna aplikasi nya minim banget sesuai biaya development dg capai guna</t>
  </si>
  <si>
    <t xml:space="preserve"> kepake kaya touring sih gak kenal tau letak spbu bole ttp no ktp yy</t>
  </si>
  <si>
    <t>ngasih info valid  loh liat nih yg masuk notif yg bahas bahas agama bego wkwkwkwkwkwkwkwkw daftar validasi lari lari agama daritadi diemin sangking ga nyambungnya hahaha</t>
  </si>
  <si>
    <t>gak mikirin  pake pertalite mobil gue doang gue jarang make mobil yaudah santai</t>
  </si>
  <si>
    <t>apps  amp linkaja ga</t>
  </si>
  <si>
    <t>kontradiksi bodoh  atur beli bensin hp fakta spbu larang nyala hp gawai rawan ledak udah tulis pom bensin larang larang lawak kocak</t>
  </si>
  <si>
    <t>udh daftar  gk</t>
  </si>
  <si>
    <t xml:space="preserve">kirim shopeepaythr ayo ambil habis transferpakaishopeepay gratistanpabatas </t>
  </si>
  <si>
    <t>dunno sing lg rame ng socmed ki nyong tgl juli tuku bensin nganggo app  mung jogo jogo ae sih mbangane ngko pas ng spbu profil durung lengkap</t>
  </si>
  <si>
    <t xml:space="preserve">openfollow </t>
  </si>
  <si>
    <t>kirim shopeepaythr ayo ambil habis kirim shopeepaythr transferpakaishopeepay  adel malamjumat cimahi pertalite pertalite  thrshopee spbu</t>
  </si>
  <si>
    <t>download  beli pertalite kasih bintang kasar teman</t>
  </si>
  <si>
    <t xml:space="preserve">wkwkwk jgn lupa </t>
  </si>
  <si>
    <t xml:space="preserve">kayak jokowi pakai </t>
  </si>
  <si>
    <t>mna adegan mmbuka aplikasi  ny</t>
  </si>
  <si>
    <t>ribetnya indonesia daftar  bayar tp bilang bs pakai beli bensin petralite tp daftar situs dlu download qr macem developer aja kesel lyatnya gmn bu risma jg ga marah coba</t>
  </si>
  <si>
    <t>baca ig nya  ga jarak belah pompa bensin</t>
  </si>
  <si>
    <t xml:space="preserve"> bijak beli pertalite solar pakai aplikasi nya ribet yah  pertalite solar rakyat</t>
  </si>
  <si>
    <t>lupa install  nya kaka</t>
  </si>
  <si>
    <t>lupa kasih bintang apk  tolakaplikasi up tolakaplikasi</t>
  </si>
  <si>
    <t xml:space="preserve">seblak kering nya kak </t>
  </si>
  <si>
    <t xml:space="preserve">juli spbu tam na indonesia </t>
  </si>
  <si>
    <t>daerah wajib daftar  beli pertalite solar</t>
  </si>
  <si>
    <t xml:space="preserve">besok diribetkan </t>
  </si>
  <si>
    <t xml:space="preserve">loh sampe salah paham yoo amat dgn seksama nih info </t>
  </si>
  <si>
    <t>perintah salah strategi si gua nya jgn langsung buru suruh pake  tp cari langgan nya kaya ngasih promo mcm cashback trus bayar isi saldo nya pakai virtual akun pake wallet byk yg pake aplikasi</t>
  </si>
  <si>
    <t xml:space="preserve"> bintang</t>
  </si>
  <si>
    <t xml:space="preserve">beli dawet daftar </t>
  </si>
  <si>
    <t>sempet make  skrg udah ga spbu sedia alat nya tugas nya gamau nerima bayar make  alas alat nya gada gatau deh sekrang udah ubah</t>
  </si>
  <si>
    <t>daftar bbm subsidi website  khusus roda bbmsubsidi bisnis denpasar ekonomi khusus  nasional daftar roda subsidi website</t>
  </si>
  <si>
    <t xml:space="preserve">sapa yg begadang daftar </t>
  </si>
  <si>
    <t xml:space="preserve"> usahain banyakin promo ky beli liter pertalite gratis spbu serta jaga toilet</t>
  </si>
  <si>
    <t xml:space="preserve">orang susah ngomong tuju banget terap </t>
  </si>
  <si>
    <t>beli pertalite solar daftar  juli butuh</t>
  </si>
  <si>
    <t xml:space="preserve"> mekanisme daftar website  tuju lindung hak subsidi energi masyarakat rentan</t>
  </si>
  <si>
    <t>aplikasi  mudah susah</t>
  </si>
  <si>
    <t>putar via  moga paham ya</t>
  </si>
  <si>
    <t xml:space="preserve"> pertalite gas elpiji nambah nih nambah nyusahin rakyat</t>
  </si>
  <si>
    <t>rang orang gak baca berita kali yah daftar doang gak pake  daftar</t>
  </si>
  <si>
    <t>subsidi sasar juli  buka daftar website  langkah nih</t>
  </si>
  <si>
    <t>spbu deket rumah bang besok beli pertalite daftar amp bayar pake  ngga teh bayar pake duit</t>
  </si>
  <si>
    <t>fyi subsidi sasar juli  buka daftar website  daftar ygy</t>
  </si>
  <si>
    <t xml:space="preserve"> akal an utk promosi baca paksa aplikasi linkaja</t>
  </si>
  <si>
    <t>bagus bang sehat ud install  blm ngab</t>
  </si>
  <si>
    <t xml:space="preserve"> mekanisme daftar website  tuju lindung hak subsidi energi masyarakat rentan </t>
  </si>
  <si>
    <t>daftar aplikasi  baca info gaes juli batas bbm subsidi buka daftar energizingyou energizingyourfuture</t>
  </si>
  <si>
    <t>daftar bbm subsidi website  khusus roda sindonews bukanberitabiasa</t>
  </si>
  <si>
    <t>yg pake pertamax turbo instal  gk nih</t>
  </si>
  <si>
    <t>gaada bikin petisi batal harus make  isi bensin kalo udah dishare hehe</t>
  </si>
  <si>
    <t>gak risau temen tuh buka daftar  ya</t>
  </si>
  <si>
    <t xml:space="preserve">hahahhaanjing gta kudu donlot </t>
  </si>
  <si>
    <t xml:space="preserve">kalo main hp beli bensin gak bahaya tp kalo beli bensin bahaya sinyal hpnya udah sahabat ama bensin dipake buka aplikasi </t>
  </si>
  <si>
    <t>beli pertalite spbu butuh aplikasi  alias aplikasi rudet karu mang angkot jeung supir supir sajaba na mangots mobil atas cc larang pertalite</t>
  </si>
  <si>
    <t>mint hrs suruh migu donlot  skrg jg kalo mo turunin wonu tol</t>
  </si>
  <si>
    <t>beli bbm harus aplikasi  wajib maklum</t>
  </si>
  <si>
    <t xml:space="preserve"> balian bbm cashless aplikasi  tuju sebar bensin jenis pertalite hak beli jenis bbm</t>
  </si>
  <si>
    <t>bbrp yg isi solar spbu tugas spbu catat nopol amp no hp bbrp kmdian dpt sms  ksh kode angka password yg dmksud ato sdh trdftar</t>
  </si>
  <si>
    <t>daftar bbm subsidi website  khusus roda breakingnews</t>
  </si>
  <si>
    <t>hai sobat informasi transaksi aplikasi  handphone spbu aman jarak minimal meter dispenser bbm tks firman</t>
  </si>
  <si>
    <t>perintah jokowi sederhana prosedur yg belit liku sederhana mudah kalo beli bbm gas wajib pakai  sulit masak program perintah galak program sulit rakyat</t>
  </si>
  <si>
    <t>cimahi bully sebut bandung coret barudaks bandung mangots orang bandung beli pertalite cimahi bandung mah pake aplikasi  alias rudets inti orang bandung butuh cimahi</t>
  </si>
  <si>
    <t>instal  kah</t>
  </si>
  <si>
    <t xml:space="preserve">pertalite solar  masyarakat beli gas melon pakai aplikasi </t>
  </si>
  <si>
    <t>heboh rencana beli elpiji wajib pakai  dukung pangkal gas tolak usaha kuliner</t>
  </si>
  <si>
    <t xml:space="preserve">trus gimana nunjukin aplikasi </t>
  </si>
  <si>
    <t xml:space="preserve">pt  persero guna kendara roda motor wajib daftar </t>
  </si>
  <si>
    <t xml:space="preserve">juli rencana uji coba daftar website </t>
  </si>
  <si>
    <t>yth mas mardigu wowik beli bbm pakai aplikasi  jawab ya mohon manfaat mohon mas murni</t>
  </si>
  <si>
    <t xml:space="preserve">besok beli pertalite solar pakai aplikasi </t>
  </si>
  <si>
    <t>gabisa install  gabisa masuk ya</t>
  </si>
  <si>
    <t>daftar beli pertalite solar aplikasi website   aplikasi bbmsubsidi pertalite solar pengendalianbbmsubsidi</t>
  </si>
  <si>
    <t>gambar pake apk  wkwkwk</t>
  </si>
  <si>
    <t>aplikasi  cacat bet</t>
  </si>
  <si>
    <t>sih registrasi  bgt hasil barcode yg diprint scan beli nu</t>
  </si>
  <si>
    <t>bsok ya tugas spbu nya galak marah jalanin perintah dri apps  ngantri yah maklum yg bikin susah perintah rakyat yg kerja spbu yg kambing hitam</t>
  </si>
  <si>
    <t xml:space="preserve">section head communication amp relations  patra niaga bawah wilayah jatimbalinus arya yusa dwicandra wilayah jatim laku daftar beli bbm subsidi aplikasi  laman </t>
  </si>
  <si>
    <t>pt  persero daftar beli bahan bakar minyak subsidi platform digital  khusus milik kendara roda</t>
  </si>
  <si>
    <t>hai sobat sila sobat ketik manual kolom merk kendara aplikasi  data kendara informasi cek aplikasi  tks gio</t>
  </si>
  <si>
    <t>hai sobat donny informasi transaksi aplikasi  handphone spbu aman jarak minimal meter dispenser bbm tks firman</t>
  </si>
  <si>
    <t>beli gas lpg kg rencana daftar  pramborsnews</t>
  </si>
  <si>
    <t>ud instal  blm ngab</t>
  </si>
  <si>
    <t xml:space="preserve"> daftar barcode cetak masyarakat bawa isi bbm subsidi spbu kode qr cetak bawa spbu wajib bawa ponsel spbu gimana</t>
  </si>
  <si>
    <t>rudet pis pom bensin bikin macet jalan yg beli bensin ngantrinya imbas dr hrs pake aplikasi  klo beli pertalite bagi nya jalur pertamax pertalite td trnyata pegawaina loba nu lieur oge</t>
  </si>
  <si>
    <t xml:space="preserve">gak anak om aplikasi </t>
  </si>
  <si>
    <t>kak tolong daftar  yaa</t>
  </si>
  <si>
    <t>juli daftar bbm subsidi website  khusus roda</t>
  </si>
  <si>
    <t>rariweuh install app  mah kari install nu teu boga teu kuateun hpna mah da paham pagawena ge atuh aya toleransi ajak maju teh harese negara konoha mah ajig rieut</t>
  </si>
  <si>
    <t>tuju paksa aplikasi pel  ngotot pilih milu</t>
  </si>
  <si>
    <t>gin cok klo pke apps  ak situ ga dapet cowo klo gbsa ak ga download aplikasiny biar ak kencing aj tangki</t>
  </si>
  <si>
    <t>beli pertalite pakai aplikasi  netizen komentar pedas nyusahin rakyat</t>
  </si>
  <si>
    <t>untung kota tasik yg kena  kasi papah dah tau blm ya</t>
  </si>
  <si>
    <t>untung twitter gak subsidi gaperlu  wkwk</t>
  </si>
  <si>
    <t>td nonton berita  bbrp opsi salah nya sticker yg tempel kendara tanda udah weh kyk mekdi teh gak ribet tempelin aja tinggal tugas aja yg atur</t>
  </si>
  <si>
    <t xml:space="preserve">besok laku daftar beli pertalite </t>
  </si>
  <si>
    <t xml:space="preserve">udah uninstall install </t>
  </si>
  <si>
    <t>beli bahan bakar minyak bbm subsidi aplikasi  masyarakat unjung laman jumat juli</t>
  </si>
  <si>
    <t>ayang km ga download  ga beli bensin motor loh udhlah isi pertamax aja males downloadnya</t>
  </si>
  <si>
    <t xml:space="preserve">abis ngisi </t>
  </si>
  <si>
    <t>udah males bener lihat tingkah laku orang instal  wkwk</t>
  </si>
  <si>
    <t xml:space="preserve">dih </t>
  </si>
  <si>
    <t>wahhhh yah pke aplikasi  kena charge or biaya platform maap sy donlod bikos gk kendara</t>
  </si>
  <si>
    <t xml:space="preserve">kota kabupaten jabar uji coba daftar transaksi pertalite solar aplikasi  </t>
  </si>
  <si>
    <t>spbu larang main handphone suruh download aplikasi  isi bahan bakar negara bikin ribet rakyat as</t>
  </si>
  <si>
    <t>beli pertalite solar pakai  besok warga jogja lokasi spbu uji coba kilas</t>
  </si>
  <si>
    <t>poin kumpul tukar voucher merchandise sedia aplikasi  informasi sila akses</t>
  </si>
  <si>
    <t>hai sobat fariz informasi salah benefit aplikasi  sobat beli bbm pertamax series dex series aplikasi  poin</t>
  </si>
  <si>
    <t xml:space="preserve"> sedia sistem bayar elektronik sistem integrasi linkaja lebi</t>
  </si>
  <si>
    <t>jakarta juli laku app  utk beli pertalite</t>
  </si>
  <si>
    <t>gess gesss yg rame nichhhh poin yukkk  gimana nich</t>
  </si>
  <si>
    <t xml:space="preserve">tutorial isi bensin dgn </t>
  </si>
  <si>
    <t>info mobil wajib pake  cc dn keluar brp si</t>
  </si>
  <si>
    <t xml:space="preserve">bikin twit app </t>
  </si>
  <si>
    <t>daftar bbm subsidi website  khusus roda jakarta pt  persero  patra niaga sub holding commercial amp bbmsubsidi beritajatim   beritamigas</t>
  </si>
  <si>
    <t xml:space="preserve">teman teman rezeki bantu ringan beban teman moga tuhan balas baik lipat ganda teman teman klik link ya semuabisakena bniwajibdiaudit </t>
  </si>
  <si>
    <t>mikirin cingogo gitu ga ikut pusing mikirin  ngantri beli bensin</t>
  </si>
  <si>
    <t>guys  cash daftar website aplikasi udah operasi</t>
  </si>
  <si>
    <t>iseng donlot  biar dr tgl juli bs isi solar gocengan input no hp lgsg tau no platnya apk kaget si perintah lgsg nyimpen database</t>
  </si>
  <si>
    <t>july dump foto screenshot udah nginstall  we ll see</t>
  </si>
  <si>
    <t>ga wajib instal baca lg info yg drop daftar subsiditepat  ga pakai hp kalo valid dpt qrcode qrcode diprint utk beli bbm jd ga bawa bawa hp</t>
  </si>
  <si>
    <t>mosok gitu yah  daftar doang tunggu sosialisasi biar ngeh</t>
  </si>
  <si>
    <t>yg uninstall yg install kasih bintang  tolakaplikasi</t>
  </si>
  <si>
    <t xml:space="preserve">sek sek download </t>
  </si>
  <si>
    <t xml:space="preserve">atur </t>
  </si>
  <si>
    <t>eh gak paham skema beli pertalite  booking pertalite aplikasi trs tinggal tunjukin bukti udah book pertalite bukti aplikasi hp spbu gak nyalain hp</t>
  </si>
  <si>
    <t xml:space="preserve"> udh wajibkh bingung bgt beli pertalite hh</t>
  </si>
  <si>
    <t xml:space="preserve">daftar aplikasi   gratis tonton video pilih klik  aplikasi </t>
  </si>
  <si>
    <t>gas kg beli pakai  interestnews beli bbm jenis pertalite beli gas kg pakai aplikasi  direktur pasar</t>
  </si>
  <si>
    <t xml:space="preserve">ruu kuhp </t>
  </si>
  <si>
    <t>baca berita ya nder tambah  utk kendara roda atas roda kaya</t>
  </si>
  <si>
    <t>laku juli daftar aplikasi  pertalite</t>
  </si>
  <si>
    <t xml:space="preserve">when you beli minyak goreng pakai pedulilindungi and beli bbm pakai </t>
  </si>
  <si>
    <t>udah download  blm</t>
  </si>
  <si>
    <t>beli bahan bakar minyak bbm pakai aplikasi  salur bbm subsidi sasar</t>
  </si>
  <si>
    <t xml:space="preserve">besok roda atas yg wajib pake </t>
  </si>
  <si>
    <t>bewarajabar  buka daftar website  juli   twitter</t>
  </si>
  <si>
    <t xml:space="preserve">tgl juli beli pertalite via </t>
  </si>
  <si>
    <t>rencana nyoba pake  bom mas besok coba yg mobil</t>
  </si>
  <si>
    <t>aja instal  eehh bayar kudu pake linkaja instal bagus sih serba online gin ktp ku wis mbruwet foto tolak daftar aju ganti lamaaa</t>
  </si>
  <si>
    <t xml:space="preserve">hayu atuh mabar </t>
  </si>
  <si>
    <t>aplikasi  laku besok beli pertalite solar qr code</t>
  </si>
  <si>
    <t>tenang wajib beli bahan bakar minyak bbm pakai aplikasi  salur bbm subsidi sasar presiden</t>
  </si>
  <si>
    <t>apas aneh aja  peduli lindung aja sampe skr gak download</t>
  </si>
  <si>
    <t xml:space="preserve">pertalite solar beli tabung gas wajib daftar </t>
  </si>
  <si>
    <t>kritik guna  pb hmi sulit rakyat dapat bbm covid kamis juni tinggal putin sekjen pbb cimahi ginting vito bakri corbuzier julia roberts maljum malam jumat rezimsusahinrakyat rezimsusahinrakyat</t>
  </si>
  <si>
    <t>ayo guys beli pertalite amp solar pakai  mudah amp praktis simak untung pokok simple bgt deh</t>
  </si>
  <si>
    <t>copotmenteridongok copotmenteridongok cap susah  review jelek google play</t>
  </si>
  <si>
    <t xml:space="preserve">beneran besok beli bensin pake </t>
  </si>
  <si>
    <t>beli bbm subsidi pakai  tugas spbu ciamis laku</t>
  </si>
  <si>
    <t xml:space="preserve">rapat paripurna dpr kesah ruu bentuk daerah otonom dob papua informasi salur lpg kg aplikasi </t>
  </si>
  <si>
    <t xml:space="preserve">daerah terap beli pertalite solar pakai </t>
  </si>
  <si>
    <t>beli bbm pakai aplikasi  larang handphone hoax stophoax dronesemprit</t>
  </si>
  <si>
    <t>aplikasi  cek fitur deret untung</t>
  </si>
  <si>
    <t>rkuhp oligarki  lmayan tu topik rame rame sii bijak nyeleneh aja klo nggak aparat yg nanganin leceh anak tu</t>
  </si>
  <si>
    <t>lu yg minim literasi daftar kendara identitas situs  situs akses pakai pakai hp pakai komputer orang sok ga ngerti sok jawab</t>
  </si>
  <si>
    <t>ekspektasi bos wajipin pake  trace efektivitas salur subsidi yg sasar ga orang yg beli pertalite realita ga warga terima bijak screenshot</t>
  </si>
  <si>
    <t>guna aplikasi  tuh lumayan dampak</t>
  </si>
  <si>
    <t xml:space="preserve"> timbul polemik pt  tuju buat aplikasi</t>
  </si>
  <si>
    <t>transaksi bahan bakar minyak bbm subsidi kategori roda aplikasi   spbu beli bbm subsidi aplikasi  laksana langkah langkah proses beli bbm</t>
  </si>
  <si>
    <t>daftar kendara identitas situs  situs akses pakai pakai hp pakai komputer orang sok ga ngerti sok jawab</t>
  </si>
  <si>
    <t>oh iyaa kudu download  ajg lh ribet</t>
  </si>
  <si>
    <t>pertalite kalo beli pertalite tetes pake  aki sukidi tugas spbu tetes mah gak ki harga ya kalo tetes gratis ya udah kalo gitu tolong tetesin tengki motor aki sampe penuh ya</t>
  </si>
  <si>
    <t>lg enak scroll twt hah besok isi bensin pake  deh langsong ganti baju go pom bensin isi full tank males bgt ribet besok pagi emg rencana isi sblm pergi kerja nyampe sana nanya mas nya kyknya msh blm terap mba</t>
  </si>
  <si>
    <t>pake  fitur paylaternya beli bensin skarang bayar cicil</t>
  </si>
  <si>
    <t xml:space="preserve">beli bbm subsidi aplikasi </t>
  </si>
  <si>
    <t>jumat juli beli pertalite solar pakai   aplikasi</t>
  </si>
  <si>
    <t>ga pake aplikasi  lho guys cash daftar website</t>
  </si>
  <si>
    <t xml:space="preserve">ora ngurusi mbah mbah pokok kabeh kudu nduwe </t>
  </si>
  <si>
    <t>instal  dlu</t>
  </si>
  <si>
    <t>juli besok guys beli pertalite solar daftar  ya guys daerah uji coba</t>
  </si>
  <si>
    <t>serius nanya bsk udah beli bensin wajib pake aplikasi  gimana</t>
  </si>
  <si>
    <t xml:space="preserve">iya gakpapa mas gak pake </t>
  </si>
  <si>
    <t>isi bensin beneran pake  euy</t>
  </si>
  <si>
    <t xml:space="preserve">ribet sihhhh pake </t>
  </si>
  <si>
    <t xml:space="preserve">peduli lindung dh tenggelem terbit </t>
  </si>
  <si>
    <t>beli gas kg pake aplikasi  wkwk</t>
  </si>
  <si>
    <t xml:space="preserve"> apk</t>
  </si>
  <si>
    <t>nyobain download  yaaaa sesuai ekspektasi untung gue pake shell</t>
  </si>
  <si>
    <t>orang yg bikin aplikasi  ga bayang tuh pas pintu surga suruh scan ditanyain udah downl</t>
  </si>
  <si>
    <t>balik ribet engga nya ui  turut nyaman sih kyk app commerce kalo ux nya liat tampil blm mesen bensin pake app jd nilai</t>
  </si>
  <si>
    <t>hayoo besok beli bensin pake  yaa</t>
  </si>
  <si>
    <t xml:space="preserve">kalo beli bbm pake aplikasi  mudah ngetrace beli pas curang mudah ngasih ganti rugi bismillah komisaris </t>
  </si>
  <si>
    <t>beli pertalite pakai  amat ti kritik pedas baca berita kini mudah nyaman download aplikasi inilahcom ios android inilahcom inilahdotcom via</t>
  </si>
  <si>
    <t>cimahi gausah pake  serius nanya</t>
  </si>
  <si>
    <t>wkwkw persetan  untung pake pertamax</t>
  </si>
  <si>
    <t xml:space="preserve">buku pandu </t>
  </si>
  <si>
    <t xml:space="preserve"> jadi ladang data yg data ambil oknum tanggung nama alamat no kendara aplikasi</t>
  </si>
  <si>
    <t>yoi anti install app  pel hapus app susah</t>
  </si>
  <si>
    <t>tau yg aplikasi  untung ga ngantri bgt pom pas bgt ngisi karna habis bensin qu wkkw</t>
  </si>
  <si>
    <t>pasang   hubung linkaja pasang pin salah bikin akun nomer yg hubung  linkaja nya blokir solusi</t>
  </si>
  <si>
    <t xml:space="preserve">udh pd donlod </t>
  </si>
  <si>
    <t xml:space="preserve">pov isi bensin pake aplikasi </t>
  </si>
  <si>
    <t>emang  iklan</t>
  </si>
  <si>
    <t>legislator guna aplikasi  mudah</t>
  </si>
  <si>
    <t xml:space="preserve"> rating rendah bintang agam ulas negatif google play store</t>
  </si>
  <si>
    <t xml:space="preserve"> cek nih</t>
  </si>
  <si>
    <t>juli beli pertalite amp solar daftar  yuk baca fakta fakta guys biar salah kaprah</t>
  </si>
  <si>
    <t>ooo beli pertalite solar pake  kendara roda</t>
  </si>
  <si>
    <t>semarangpedia daftar bbm subsidi website  khusus roda bbmbersubsidi jakarta pendaftaranbbmsubsidilewatwebsitekhususuntukrodaempat  semarangpedia</t>
  </si>
  <si>
    <t>besok isi bensin udah pake  trus  lovely wife</t>
  </si>
  <si>
    <t>motor ora nggo  kak</t>
  </si>
  <si>
    <t>yg bilang  motor download sih emang netizen opini liar banget</t>
  </si>
  <si>
    <t>alas install aplikasi  biar mudah beli pertalite biar ngasih ulas playstore</t>
  </si>
  <si>
    <t>kendara roda motor daftar  khusus roda mobil cekidot gt gt gt</t>
  </si>
  <si>
    <t>yg dr kemaren dr mulut kalo lg bahas si  kalo teknologi org as simply tolong yg udah paham teknologi tp kalo perangkat gapunya yg gimanaaaaa paaak buuukk</t>
  </si>
  <si>
    <t xml:space="preserve"> nya kak</t>
  </si>
  <si>
    <t>nginstal  nggak tau kunci jok scoopy stang jok</t>
  </si>
  <si>
    <t>beli bahan bakar minyak bbm pakai aplikasi  salur bbm sub</t>
  </si>
  <si>
    <t>isi bbm aplikasi  organda ciamis ancam mogok massal</t>
  </si>
  <si>
    <t xml:space="preserve"> tentu guna aplikasi  khusus roda</t>
  </si>
  <si>
    <t>boro install  buka hp dah notif full storage</t>
  </si>
  <si>
    <t xml:space="preserve"> bantu bbm subsidi sasar disalahgunakan</t>
  </si>
  <si>
    <t>ya lihat  beli gas kg beli pertalite gak mikir rang orang yg butuh barang smartphone</t>
  </si>
  <si>
    <t>bdg meser bengsin pake  cimohay teu pake  tp pake cicis meserna</t>
  </si>
  <si>
    <t>gw uang gw gamau gaji pakek daun ucap terima kasih ya cam ide klo ga market fit lu liat noh kek  depan kerja klo atas boomer bawah ya tetep aja performa tara bos</t>
  </si>
  <si>
    <t>halah  mending pertama terkhir ku</t>
  </si>
  <si>
    <t>daftar  meminimalisir penyalahgunaan subsidi</t>
  </si>
  <si>
    <t xml:space="preserve">lo ln mo hindar protes ruu kuhp sm protes </t>
  </si>
  <si>
    <t>bijak beli bahan bakar minyak bbm subsidi aplikasi digital  kritik amat</t>
  </si>
  <si>
    <t xml:space="preserve">udah install aplikasi </t>
  </si>
  <si>
    <t>gmn bestie gak sih download aplikasi  gw bayang konsumen pertalite yg gak dev</t>
  </si>
  <si>
    <t>praktek bisnis gak layak msh tjadi bumn ekonomi biaya yg beban masyarakat persis dgn  linkaja musti cuan masyarakat korban ntar dgn bangga lapor uang untung pdahal hasil malak ya gmn praktek bisnis dr</t>
  </si>
  <si>
    <t>yth kait bijak guna app  beli bbm subsidi balik dg himbauan spbu spbu larang nyala bain hp solusi lain</t>
  </si>
  <si>
    <t>isi bensin pake app  wajib daerah daerah doang ya</t>
  </si>
  <si>
    <t xml:space="preserve">qr code aplikasi   transaksi bayar spbu tonton video pilih klik qrcode kodeqr aplikasi </t>
  </si>
  <si>
    <t>selisih beli pertamax mending beli kuota pas make  ji</t>
  </si>
  <si>
    <t>pt  rencana uji coba beli bahan bakar minyak subsidi konsumen daftar aplikasi  juli foto republika abdan syakura</t>
  </si>
  <si>
    <t>aplikasi spaduk aja unduh aplikasi  pasang spbu  jalan llre martadinata kota bandung rabu thread</t>
  </si>
  <si>
    <t xml:space="preserve"> tegas beli elpiji subsidi pakai </t>
  </si>
  <si>
    <t>atur  laku dah</t>
  </si>
  <si>
    <t xml:space="preserve"> laku beli pertalite solar  pulau jawa september </t>
  </si>
  <si>
    <t>isi bensin murah kalang pakai aplikasi  kalang yg cakap digital hmmm</t>
  </si>
  <si>
    <t xml:space="preserve">gimana isi bbm pakai  larang </t>
  </si>
  <si>
    <t>baca review app  mood bgt</t>
  </si>
  <si>
    <t>guna  ya aja utk</t>
  </si>
  <si>
    <t>ada yg sdh pakai aplikasi  baca orang yg sdh pasang aplikasi tsb yg aplikasi tsb hubung dgn aplikasi link aja utk bayar transaksi transaksi potong rp sungguh repot copy</t>
  </si>
  <si>
    <t>udah ngitung tumbuh minggu install  amp linkaja</t>
  </si>
  <si>
    <t>pintar pakai aplikasi kalang tengah tuju beli bensin via  batas beli pertalite</t>
  </si>
  <si>
    <t>bgtu lapang ga pantau pake validasi  tahu ktp yg garasi rumah pajero udh tolak pas validasi</t>
  </si>
  <si>
    <t>ah panik gegara takut habis bengsin spbu ga pake  ga cash spbu</t>
  </si>
  <si>
    <t>yg mbk download  blm bsk juli beli pakai aplikasi mohon maaf sllu beli pertamax awokawok</t>
  </si>
  <si>
    <t>memori hp penuh gabisa download  aplikasi jarang kepake muslim pro nahitu tuh dosa lari mana</t>
  </si>
  <si>
    <t>udah instal  bom gais askrl</t>
  </si>
  <si>
    <t xml:space="preserve"> patra niaga wajib milik aplikasi </t>
  </si>
  <si>
    <t>larang main hp aman bayar bensin pakai aplikasi   aplikasi kementerianesdm bbmsubsidi pertalite solar</t>
  </si>
  <si>
    <t>ah panik gegara takut habis bengsin spbu ga pake  ga cash spbu tiga ga bs gegara lot ga sinyal bayar pake debit hih</t>
  </si>
  <si>
    <t xml:space="preserve">terlanjursayang putin malam jumat popo instagram </t>
  </si>
  <si>
    <t>lpg kg orang miskin ya haloo ngerti miskin ga tar ngisi kuota hrs daftar  jg tah dmn otak nya</t>
  </si>
  <si>
    <t xml:space="preserve"> buka suara kabar beli gas elpiji pakai aplikasi </t>
  </si>
  <si>
    <t xml:space="preserve">let me susah app </t>
  </si>
  <si>
    <t>bayang antre akibat keribetan aplikasi  mending  terbit tap card isi ulang beli bensin tinggal tap</t>
  </si>
  <si>
    <t>udah pake  situ</t>
  </si>
  <si>
    <t>masyarakat wajib daftar aplikasi  beli pertalite solar banyak bug aplik</t>
  </si>
  <si>
    <t>linkaja untung dr kisruh  khas telkom gajah yg sulit bgerak menang monopoli dukung regulasi yg hambat maju bangsa linkaja yg dr telkom emang berani linkaja utk fair competition business ethicnya gak</t>
  </si>
  <si>
    <t>beli bbm subsidi aplikasi  masyarakat unjung laman</t>
  </si>
  <si>
    <t>moga  ni ga kayak app mpasport</t>
  </si>
  <si>
    <t>rencana bijak beli bbm subsidi pertalite solar lpg kg laku juli aplikasi  nilai efektif</t>
  </si>
  <si>
    <t xml:space="preserve">salah akal </t>
  </si>
  <si>
    <t>kle udah je install aplikasi  besok</t>
  </si>
  <si>
    <t>laku transportasi bandung tolak aplikasi  sopir beli android</t>
  </si>
  <si>
    <t>beli pertalite pakai  kode qr atas curang takar</t>
  </si>
  <si>
    <t xml:space="preserve">motor gaperlu install </t>
  </si>
  <si>
    <t>catat daftar  milik kendara roda sariagri tani</t>
  </si>
  <si>
    <t>beli bbm wajib pakai  ade hartati jaga komitmen integritas goriau</t>
  </si>
  <si>
    <t xml:space="preserve">gimana </t>
  </si>
  <si>
    <t>eh btw yg prihal app  klo smisal hp kyk gd memori donlod trs gmn</t>
  </si>
  <si>
    <t>beli bensin pake  cash ga pake linkaja</t>
  </si>
  <si>
    <t xml:space="preserve">pt  patra niaga buka daftar kendara identitas website  juli daftar guna qr code beli bahan bakar minyak bbm subsidi spbu </t>
  </si>
  <si>
    <t xml:space="preserve">orang cimahi ga pake aplikasi </t>
  </si>
  <si>
    <t xml:space="preserve"> wajib daftar situs  guna lpg kg laku</t>
  </si>
  <si>
    <t>beli minyak goreng pakai aplikasi peduli lindung beli bbm pakai aplikasi  rakyat susah akibat pandemi susah</t>
  </si>
  <si>
    <t>suruh buka aplikasi  gambar spbu</t>
  </si>
  <si>
    <t xml:space="preserve">boikot daftar unduh aplikasi </t>
  </si>
  <si>
    <t>perintah luncur resmi beli bahan bakar minyak bbm aplikasi   juli</t>
  </si>
  <si>
    <t xml:space="preserve">mobil rental sopir aplikasi   tonton video pilih klik  aplikasi </t>
  </si>
  <si>
    <t>motor beli pertalite pakai aplikasi  bandung motor pertalite</t>
  </si>
  <si>
    <t>akun  daftar kendara qr code lekat kendara orang</t>
  </si>
  <si>
    <t xml:space="preserve"> kembang  rangka salur pertalite solar data terima subsidi bbm</t>
  </si>
  <si>
    <t>pertalite prediksi habis muncul rencana guna aplikasi  beli gas kg aplikasi</t>
  </si>
  <si>
    <t>pt  persero daftar beli bahan bakar minyak subsidi platform digital  milik kendara roda</t>
  </si>
  <si>
    <t>mutu kadrun yg appl  yg syarat unjuk pedulilindungi nik olh beli pertalit</t>
  </si>
  <si>
    <t>daftar  kendara akun</t>
  </si>
  <si>
    <t>konsumen bahan bakar minyak bbm wajib waspada aplikasi   palsu tonton video pilih klik  aplikasi bbm</t>
  </si>
  <si>
    <t>bijak beli bahan bakar minyak bbm subsidi aplikasi digital  kritik amat teknologi informatika ti heru sutadi  aplikasi pertalitepakai pengamatti</t>
  </si>
  <si>
    <t xml:space="preserve">beli bbm jenis pertalite solar batas daftar aplikasi </t>
  </si>
  <si>
    <t>perintah luncur resmi beli bahan bakar minyak bbm aplikasi   juli perintah resmi aplikasi  beli bahan bakar minyak subsidi</t>
  </si>
  <si>
    <t>daftar bbm subsidi website  khusus roda bandarlampung sumatra</t>
  </si>
  <si>
    <t>izin nanya tablet ngapain ngajarin mas zelensky instal  asyik tablet mas zelensky diam liatin mas zelensky ngomong hati</t>
  </si>
  <si>
    <t xml:space="preserve">beli lpg kg wajib daftar </t>
  </si>
  <si>
    <t>motor beli pertalite pakai aplikasi  bandung motor pertalite   spbu pombensin bensin mobil atur indonesia nasional prmn pikiranrakyat prmnsahabatumkm pikiranrakyatmedianetwork</t>
  </si>
  <si>
    <t xml:space="preserve">males instal </t>
  </si>
  <si>
    <t xml:space="preserve">modul bahasa inggris jual otniel harga rupiah gw gk ad duit gw minjem modul io gw beli modul ngutang quel age as tu habite londr je suis etudiante comment tu appelles </t>
  </si>
  <si>
    <t>salah paham simak jelas beli pertalite pakai  lengkapcepatberitanya uang ekonomi ekonomi ekonomiindonesia</t>
  </si>
  <si>
    <t xml:space="preserve">ayo mutualan </t>
  </si>
  <si>
    <t>akses aplikasi  transaksi offline</t>
  </si>
  <si>
    <t>terobos gila beli bensin pakai aplikasi  spbu aja larang foto main hp motor</t>
  </si>
  <si>
    <t>juli masyarakat daftar website aplikasi  beli pertalite solar</t>
  </si>
  <si>
    <t>fuck  beli ecer besok</t>
  </si>
  <si>
    <t>daftar  susah masyarakat</t>
  </si>
  <si>
    <t>gmn sih roda gakperlu daftar  ya lagipula tanggal juli buka daftar uji coba</t>
  </si>
  <si>
    <t xml:space="preserve">te tuku krupuk yo donlot </t>
  </si>
  <si>
    <t>beli bbm subsidi  khusus kendara roda</t>
  </si>
  <si>
    <t>aplikasi  jarang yg rakyat paksa instal biar laku bisnis aplikasi cuan cuan cuan</t>
  </si>
  <si>
    <t>gua tuju  beli gas gampang nyari beli gas gampang gas lgp rata gitu gitu kaipay mending lu ngak dah asli mending kai access aja bikin kaya travel apps access jadwal kreta jabodetabek</t>
  </si>
  <si>
    <t>bodoamat  aq cmn qm priority</t>
  </si>
  <si>
    <t>tonton bbm aplikasi  youtube gt gt gt</t>
  </si>
  <si>
    <t xml:space="preserve">salah beli bbm pakai aplikasi </t>
  </si>
  <si>
    <t xml:space="preserve">emak emak ribet nih beli lpg kg pakai aplikasi </t>
  </si>
  <si>
    <t>mas pikirin aja kalo ktp daftar ktp garasi rumah pajero msk kriteria org butuh bbm subsidi ga lgs tau pas validasi  emg ga pikir sm mas</t>
  </si>
  <si>
    <t>guys subsidi sasar juli  buka daftar website  dukung bgt upaya</t>
  </si>
  <si>
    <t xml:space="preserve">beli pertalite solar ketat wajib konsumen daftar </t>
  </si>
  <si>
    <t>khawatir gagal akses  antisipasi nya</t>
  </si>
  <si>
    <t>gambar konteks kunci aplikasi   pertalite pertamax tolakaplikasi subs</t>
  </si>
  <si>
    <t>isi full ya oke bayar cash pertmina pake  bentar buka app dul duaaaar</t>
  </si>
  <si>
    <t>keluh kesah user  dgn kuota habis oia  ngecover enga yah kasih subsidi kpd operator turun beli akibat penyesuain sistem usaha cari untung usaha nenek loe</t>
  </si>
  <si>
    <t>daftar aplikasi  gampang ribet butuh menit transaksi</t>
  </si>
  <si>
    <t>ramai ramai warganet rating aplikasi  sebab</t>
  </si>
  <si>
    <t>beli minyak goreng pakai ktp pedulilindungi beli solar pertalite pakai aplikasi  bentar berak pakai sim</t>
  </si>
  <si>
    <t>rekomendasi shirt jordi  malam jumat putin bpjs</t>
  </si>
  <si>
    <t>terobos gila beli bensin pakai aplikasi  spbu aja larang foto main hp motor mobil isi bbm</t>
  </si>
  <si>
    <t xml:space="preserve"> liat gimana enam the new normal back to the og</t>
  </si>
  <si>
    <t xml:space="preserve">engga pakai  aja macet ampuuuun pake </t>
  </si>
  <si>
    <t>nunggu terobos petinggi kali aja kalo ken modol donlot app modol haha  kalah jauhhh</t>
  </si>
  <si>
    <t>antri spbu paku jaya pinang tangerang imbas info  bpk ade elshintanews</t>
  </si>
  <si>
    <t>beli pertalite solar wajib pakai aplikasi  juli daftar wilayah</t>
  </si>
  <si>
    <t xml:space="preserve"> laku uji coba implementasi tahap guna aplikasi  beli pertalite biosolar</t>
  </si>
  <si>
    <t>rese banget emang gua mesti regist in  hp orang rumah</t>
  </si>
  <si>
    <t xml:space="preserve">akibat rating aplikasi </t>
  </si>
  <si>
    <t>jokowi batal daftar  tdk dengar bawah sejati menteri jalan tdk peduli dgn jokowi nama kuasa yg tdk kuasa</t>
  </si>
  <si>
    <t>pb hmi syarat aplikasi  sulit rakyat dapat bbm</t>
  </si>
  <si>
    <t>aplikasi  ga banget tolong</t>
  </si>
  <si>
    <t xml:space="preserve">besok daerah uji coba beli pertalite solar pakai aplikasi </t>
  </si>
  <si>
    <t xml:space="preserve">nggak main hp spbu beli pertalite kudu pake </t>
  </si>
  <si>
    <t>bottom up contoh  beli gas pertalite jakarta</t>
  </si>
  <si>
    <t>corporate secretary  patra niaga irto ginting sebut guna qr code  tekan angka curang manipulasi takar bbm</t>
  </si>
  <si>
    <t>isi bensin mas tetring bleh gkada kuota bwat bka  bka ttup tank bleh mas gni ya krjaku dlm hati</t>
  </si>
  <si>
    <t xml:space="preserve"> konsultan nya sape si develop internal</t>
  </si>
  <si>
    <t xml:space="preserve">syukur karna gk masuk daftar wajib </t>
  </si>
  <si>
    <t xml:space="preserve">edar narasi media sosial facebook nama akun alana alfanayra unggah klaim beli bahan bakar spbu  aplikasi </t>
  </si>
  <si>
    <t xml:space="preserve"> gamau bikin opsi alternatif gitu bayar via  pake linkaja dalih biar sasar kalo opsi bayar gimana gitu gimananya bikin pusing</t>
  </si>
  <si>
    <t>bentar  gandeng brando sang kendali playstore</t>
  </si>
  <si>
    <t xml:space="preserve">daftar guna bbm subsidi website  buka besok juli juli khusus kendara roda mobil </t>
  </si>
  <si>
    <t xml:space="preserve">bljr </t>
  </si>
  <si>
    <t xml:space="preserve">nggak khawatir akses aplikasi </t>
  </si>
  <si>
    <t>wkwkwk besok gamau testinya  ken nyimak dlu wkwk</t>
  </si>
  <si>
    <t xml:space="preserve">  kai kai pay menyelasaikam gua engga  ujug ujug bayar cashless doank kaipay kaya  mending kai access benerin beli tiket gampang security server bagus</t>
  </si>
  <si>
    <t xml:space="preserve">asa luar negeri isi bensin pencet isi gampang banget ngapa negara konoha pake aplikasi anjir bikin ribet </t>
  </si>
  <si>
    <t>beli bbm pakai  kasihan smartphone amp internet</t>
  </si>
  <si>
    <t>jual bbm keteng beli pom bensin pake  ga ya jerigen pake plat nomor</t>
  </si>
  <si>
    <t>pakai aplikasi  yg aplikasi error karna butuh stabil koneksi internet spbu nya yg gak support seringkali tugas bilang gak alas error sedia</t>
  </si>
  <si>
    <t>daftar  beli bbm pertalite rangkum infografis</t>
  </si>
  <si>
    <t>aja  kasih rating moga blok</t>
  </si>
  <si>
    <t>kalo beli pertalite pake  mod dapet free stock bensin umur hidup ga ya</t>
  </si>
  <si>
    <t xml:space="preserve">susul pertalite beli lpg subsidi pakai </t>
  </si>
  <si>
    <t>terap aplikasi  amat siap tim dukung</t>
  </si>
  <si>
    <t xml:space="preserve">fak juni fak </t>
  </si>
  <si>
    <t>daftar  milik kendara roda</t>
  </si>
  <si>
    <t>beli bensin pakai aplikasi  kalo toilet nama aplikasi boker</t>
  </si>
  <si>
    <t xml:space="preserve">milik kendara roda wajib daftar aplikasi </t>
  </si>
  <si>
    <t>tegas wajib milik aplikasi  sekretaris usaha  patra niaga</t>
  </si>
  <si>
    <t>daftar situs  beli pertalite solar</t>
  </si>
  <si>
    <t xml:space="preserve">roda daftar </t>
  </si>
  <si>
    <t>uji titik nyala minyak ledak insight insights info   flashpoint minyakuntukkita oilprice oil fearless</t>
  </si>
  <si>
    <t>wow masyarakat beli gas melon pertalite solar pake duit alias uang keren donk  iya ganti beli pertalite solar gas melon aplikasi  bahagia rakyat pake aplikasi  pake uang</t>
  </si>
  <si>
    <t>beli pertalite solar wajib pakai aplikasi  juli daftar wilayah pertalite</t>
  </si>
  <si>
    <t>daftar website  khusus roda</t>
  </si>
  <si>
    <t>akhir besok udh make  tp kalo motor jg make jg ya brati</t>
  </si>
  <si>
    <t>kocak  versi mod unlimited money</t>
  </si>
  <si>
    <t xml:space="preserve">harus install </t>
  </si>
  <si>
    <t>isiin  ya</t>
  </si>
  <si>
    <t>yg atur ngisi bensin pake  blm ngerasain pagi berangkat kerja antri pom bensin pertalite dibatasin sedia siang yg atur perintah somalia yaa</t>
  </si>
  <si>
    <t>uji coba beli bensin subsidi wajib daftar via aplikasi  lumayan ribet</t>
  </si>
  <si>
    <t>atur guna beli bensin pake  tahap uji coba daerah untuk kendara roda udah kayak bakar jenggot aja wkwk</t>
  </si>
  <si>
    <t xml:space="preserve">beli pertalitenya ga pakai aplikasi qr code nya aja pakai qr code nya disave galery hape qr code registrasi web </t>
  </si>
  <si>
    <t xml:space="preserve">solar pakai </t>
  </si>
  <si>
    <t>apliksi  banjir review bintang jelang regulasi beli bbm pertalite solar subsidi aplikasi  juli</t>
  </si>
  <si>
    <t>wajib via  pertamax konsumen mayoritas tengah udah paham teknologi udah pakai wallet lancar contoh transisi teknologi nya pertalite amp solar logika mana ya</t>
  </si>
  <si>
    <t xml:space="preserve">jelek takut cinta takut orang cinta </t>
  </si>
  <si>
    <t>install  menginstal aplikasi yg scor diibawahh jd bingung beener install denngann provinsi moga evaluasi denngaan aamminn</t>
  </si>
  <si>
    <t>kendara roda wajib daftar  besok</t>
  </si>
  <si>
    <t>dah download apps  ga nich</t>
  </si>
  <si>
    <t>berani lbp tegas wajib milik aplikasi  sekretaris usaha  patra</t>
  </si>
  <si>
    <t>enggak ngomongin apps  miss marvel ukraina</t>
  </si>
  <si>
    <t xml:space="preserve">netizen ramai ramai kasih bintang aplikasi </t>
  </si>
  <si>
    <t>integrasi aja pakai ktp online praktis efisien efektif kali  rencana bijak beli bbm subsidi pertalite solar lpg kg laku juli aplikasi  nilai efektif</t>
  </si>
  <si>
    <t>motor beli pertalite pakai aplikasi  bandung</t>
  </si>
  <si>
    <t>astagfirullah donlot  kah ken gw jual ni motor</t>
  </si>
  <si>
    <t>ga khawatir nih daftar beli pertalite solar  mudah bgt loh  jg sedia booth spbu konsultasi offline masyarakat bingung panik</t>
  </si>
  <si>
    <t xml:space="preserve">terima kasih juni selamat juli yg istimewa mana beli pertalite mesti pake aplikasi pom bensin hp </t>
  </si>
  <si>
    <t>ramai bincang guna aplikasi  masyarakat aplikasi susah rating bintang</t>
  </si>
  <si>
    <t>udah gak cincong gak tera undang undang beli bbm subsidi pakai aplikasi bayar pakai platform spesifik  linkaja</t>
  </si>
  <si>
    <t xml:space="preserve">beli minyak goreng pakai ktp beli bbm pakai aplikasi  rakyat sulit sulit yg nama sederhana </t>
  </si>
  <si>
    <t>for your info subsidi sasar juli  buka daftar website  lho</t>
  </si>
  <si>
    <t>sih dukung banget subsidi sasar juli  buka daftar website  langkah</t>
  </si>
  <si>
    <t>gampang banget daftar  beli bbm subsidi untung hadiah motor</t>
  </si>
  <si>
    <t>beli bbm subsidi  buka daftar via website  juli</t>
  </si>
  <si>
    <t>aplikasi  ramai banjir ulas bintang google play store kamis aplikasi ulas dominasi ulas bintang rating aplikasi</t>
  </si>
  <si>
    <t>ngegosip  wkwkwkwk panggil dame atauuu willie ajaaa matt</t>
  </si>
  <si>
    <t>resmi wajib pakai aplikasi  play store bintang</t>
  </si>
  <si>
    <t xml:space="preserve">kencing toilet spbu  login </t>
  </si>
  <si>
    <t xml:space="preserve"> wajib beli lpg kg pakai </t>
  </si>
  <si>
    <t>omnisbus law muncul baik atur overlapping peduli lindung beli migor  beli petralite solar muncul nama biar keren dengar</t>
  </si>
  <si>
    <t>rencana terap aplikasi  organda ciamis ancam mogok massal</t>
  </si>
  <si>
    <t>guys subsidi sasar juli  buka daftar website  dukung banget upaya</t>
  </si>
  <si>
    <t xml:space="preserve">tinggal besok yuk buru download aplikasi </t>
  </si>
  <si>
    <t>tenang akses  antisipasi nya</t>
  </si>
  <si>
    <t>ko momon lupa kalo beli pertalite tanggal juli instal  teh hayum ya kak diskon ajar engga</t>
  </si>
  <si>
    <t xml:space="preserve">kendara motor wajib beli pertalite pakai </t>
  </si>
  <si>
    <t>teh berita wajib pake  beneran yah cpe bgt</t>
  </si>
  <si>
    <t>dafart  sih nyaring appnya kriteria rilis mobil</t>
  </si>
  <si>
    <t>ko momon lupa kalo beli pertalite tanggal juli instal  teh hayum ya</t>
  </si>
  <si>
    <t xml:space="preserve">ko momon lupa kalo beli pertalite tanggal juli instal </t>
  </si>
  <si>
    <t>ono beli pertalite besop udah wajib make  pegimana</t>
  </si>
  <si>
    <t xml:space="preserve">assalamualaikum </t>
  </si>
  <si>
    <t>kasih tau nih ya juli  batas beli pertalite solar buka daftar aplikasi  nya loh</t>
  </si>
  <si>
    <t>beli bensin pake  gimana notifikasi ya hape nya</t>
  </si>
  <si>
    <t>jamgan lupa donlot  ya gaes</t>
  </si>
  <si>
    <t>beli bbm subsidi  khusus roda sariagri tani</t>
  </si>
  <si>
    <t>gimana orang yg bayar pakai  tp spbu nya alas error</t>
  </si>
  <si>
    <t>unduh  buru</t>
  </si>
  <si>
    <t xml:space="preserve">pake ponsel spbu larang skr boleh piye tow </t>
  </si>
  <si>
    <t xml:space="preserve">netizen jelas daftar guna  khusus roda portalyogya </t>
  </si>
  <si>
    <t xml:space="preserve">panik atur beli bbm spbu roda tahap ujicoba </t>
  </si>
  <si>
    <t>aplikasi  banjir rating bintang google play store</t>
  </si>
  <si>
    <t>td pas isi bensin nanya abang nya bener ga kalo juli beli pertalite regist via apk  abang pombensin said oh mah mobil aja kalo motor mah ngga normal kaya foto ambil dr google</t>
  </si>
  <si>
    <t>artikel berita tsb kait dg wacana perintah yg wajib beli lpg kg daftar aplikasi  kmudian wartawan detikcom mmpertanyakan bgmn dg masy yg ga hp</t>
  </si>
  <si>
    <t>beli pertalite daftar  laku mobil motor beritasonora via</t>
  </si>
  <si>
    <t xml:space="preserve">beli pertalite beli lpg kg daftar </t>
  </si>
  <si>
    <t>beli pertalite solar mesti daftar akun  juli andre rosiade sorot</t>
  </si>
  <si>
    <t xml:space="preserve"> anjg</t>
  </si>
  <si>
    <t>ui  jelek bngt homepage isi info amp promosi ra mesakke tuo amp seng ra tau nggo hp salah klik sitik mlebu submenu promo</t>
  </si>
  <si>
    <t xml:space="preserve"> atur bbm subsidi yanh sasar</t>
  </si>
  <si>
    <t>semangat ngantri pake  wkwkwkw</t>
  </si>
  <si>
    <t xml:space="preserve">penginstall linkaja </t>
  </si>
  <si>
    <t>yg daftar  cucu kakek bawa cucu data stnk gak sesuai dg yg daftar  cucu permen anter kakek isi bensin ogaaah ntar saldo linkaja beli voucher game kurang ntar kakek isiin isiin juta</t>
  </si>
  <si>
    <t>datar situs  besok beli pertalite solar</t>
  </si>
  <si>
    <t xml:space="preserve">kait point no amp server down gt verifikasi max gt bensin habis urgent sakit perlu yg desak solusi  </t>
  </si>
  <si>
    <t xml:space="preserve"> wajib konsumen bayar aplikasi </t>
  </si>
  <si>
    <t>khawatir guna hp spbu aman perhati pandu pasti daftar per</t>
  </si>
  <si>
    <t xml:space="preserve">gada aplikasi pgn pgn udah </t>
  </si>
  <si>
    <t>daftar bbm subsidi aplikasi  mobil</t>
  </si>
  <si>
    <t xml:space="preserve">mantap kalo gin tangan buka playstore instal </t>
  </si>
  <si>
    <t>abis liat jdi kepikiraan kalo emang fix pake  gak or gak ngerti nekat bakar pom bensin nih wkwkwk we ll see later</t>
  </si>
  <si>
    <t xml:space="preserve">  emang yg daftar milik cocok dgn data yg  bleh</t>
  </si>
  <si>
    <t xml:space="preserve">kepala disdagin kota bandung elly wasliah angkat bicara beli bbm subsidi pertalite aplikasi  jelas </t>
  </si>
  <si>
    <t>daftar  kendara roda</t>
  </si>
  <si>
    <t>sukamta aplikasi pedulilindungi  alat hakim ekonomi masyarakat</t>
  </si>
  <si>
    <t>daftar website   apliaksi hp</t>
  </si>
  <si>
    <t xml:space="preserve">masyarakat juli pelu daftar  beli bbm subsidi pertalite solar subsidi portalyogya </t>
  </si>
  <si>
    <t>beli gas kg pakai  kejut bahagia</t>
  </si>
  <si>
    <t>daftar bbm subsidi website  khusus roda lengkapcepatberitanya beritaterkini https</t>
  </si>
  <si>
    <t xml:space="preserve">pakai aplikasi  hp spbu bilang aman alas news aplikasi </t>
  </si>
  <si>
    <t xml:space="preserve"> daftar website  khusus roda</t>
  </si>
  <si>
    <t xml:space="preserve">luhut panjaitan mafia </t>
  </si>
  <si>
    <t xml:space="preserve">rugi bb rakyat real bisnis transportasi dampak anakcucu kelak </t>
  </si>
  <si>
    <t>beli gas lpg kg  terap tunggu putus perintah</t>
  </si>
  <si>
    <t>daftar bbm subsidi website  khusus roda lengkapcepatberitanya beritaterkini</t>
  </si>
  <si>
    <t xml:space="preserve">isi bensin udah gak buka </t>
  </si>
  <si>
    <t>ketat beli bbm pertalite solar  beli bbm wajib pakai  juli</t>
  </si>
  <si>
    <t>rutinitas sore terlanjursayang  iduladha putin</t>
  </si>
  <si>
    <t>tetap atur bayar bbm subsidi pertalite solar aplikasi  depan beli gas lpg subsidi kg aplikasi  gaselpiji gas kg lampungpost</t>
  </si>
  <si>
    <t>terap aplikasi  kota sukabumi kang fahmi</t>
  </si>
  <si>
    <t>yg nnti pake aplikasi  isi bensin</t>
  </si>
  <si>
    <t>baca ulas aplikasi  lucu</t>
  </si>
  <si>
    <t xml:space="preserve">juli bandung tasikmalaya ciamis sukabumi beli pertalite biosolar subsidi pakai </t>
  </si>
  <si>
    <t>kendara roda tdk wajib beli pertalite pake aplikasi  kl faham nama kendara mgkn nama stlh beli kendara sila browsing nama kendara</t>
  </si>
  <si>
    <t xml:space="preserve"> salah kaprah  bbm subsidi</t>
  </si>
  <si>
    <t xml:space="preserve">besok  buka daftar beli bbm subsidi </t>
  </si>
  <si>
    <t>pantau aplikasi  milik rating play store</t>
  </si>
  <si>
    <t>beli pertalite solar pakai  aman data jamin</t>
  </si>
  <si>
    <t>berani lbp tegas wajib milik aplikasi  sekretaris usaha  patra niaga</t>
  </si>
  <si>
    <t>mantap nihh dpr dukung penuh distribusi bbm subsidi adil  nihh</t>
  </si>
  <si>
    <t>daftar  milik kendara roda tahap daftar fokus cocok data daftar masyarakat dokumen data kendara milik</t>
  </si>
  <si>
    <t>mudah daftar beli pertalite solar  lengkapcepatberitanya uang ekonomi ekonomi ekonomiindonesia</t>
  </si>
  <si>
    <t>pakai qr  guna pertalite jamin sasar lengkapcepatberitanya uang ekonomi ekonomi ekonomiindonesia</t>
  </si>
  <si>
    <t xml:space="preserve">ya peduli lindung gt </t>
  </si>
  <si>
    <t>warga isi pertalite pakai  netizen ngamuk review aplikasi playstore</t>
  </si>
  <si>
    <t>pertalite beli lpg kilogram pakai aplikasi  fusilat news</t>
  </si>
  <si>
    <t>baik nih  data masyarakat beli bbm subsidi jenis pertalite solat  nih</t>
  </si>
  <si>
    <t>tenang beli bbm subsidi pakai  kendara roda</t>
  </si>
  <si>
    <t>ken tesla biar ga pake  pas isi bensin</t>
  </si>
  <si>
    <t>orang miskin beli lpg kg pakai  amat fusilat news</t>
  </si>
  <si>
    <t>salah guna  viral aplikasi bagus masuk pt  giat sosialisasi mitra guna beberapa daerah</t>
  </si>
  <si>
    <t xml:space="preserve">beli pertalite solar beli tabung gas lpg kg wajib daftar </t>
  </si>
  <si>
    <t xml:space="preserve">ya salah perintah mata ambil untung aplikasi masyarakat keluh cari tau pakai aplikasi </t>
  </si>
  <si>
    <t>beli pertalite milik aplikasi  tempobisnis</t>
  </si>
  <si>
    <t xml:space="preserve"> tegas beli lpg kg bebas daftar  konsumen wajib daftar situs oleh lpg kg</t>
  </si>
  <si>
    <t>kak nama  delivery service pds via aplikasi  menu bayar tampil gambar twit kakak website  call center duta</t>
  </si>
  <si>
    <t>lpg kg pakai app  jg kasi emak yg kagak hp</t>
  </si>
  <si>
    <t>mending baca deh biar gak salah kaprah sebenernya daftar website  konsumen aplikasi  kalo bingung bantu spbu  udh sedia booth sana</t>
  </si>
  <si>
    <t xml:space="preserve">ya masak bapak isi bengsin becak motor pake </t>
  </si>
  <si>
    <t>dpr dukung program  manfaat masyarakat indonesia</t>
  </si>
  <si>
    <t>cunitsabumi bayang gak sih yg ngdevelop  lg ketar tir umur ikhlas bumnuntukindonesia bumn</t>
  </si>
  <si>
    <t>pakai aplikasi  drun mudah awas salur bbm subsidi bbm perintah rp triliun nikmat orang kaya paham tuju ya drun kadrun</t>
  </si>
  <si>
    <t>gais tau ya tanggal juli data daftar  batas beli bbm subsidi yaa</t>
  </si>
  <si>
    <t>isi pertalite khusus pake  bayar link aja biar ga bangkrut ya startup bumn</t>
  </si>
  <si>
    <t xml:space="preserve">heboh wacana beli pertalite solar pakai  jelas   pertalite pertalitedansolar </t>
  </si>
  <si>
    <t xml:space="preserve"> halang kasih</t>
  </si>
  <si>
    <t>salah kaprah daftar  milik kendara roda</t>
  </si>
  <si>
    <t xml:space="preserve">simak biar paham </t>
  </si>
  <si>
    <t>beli pertalite wajib daftar aplikasi  banjir bintang</t>
  </si>
  <si>
    <t>besok  beli bbm subsidi daftar situs  tempobisnis ht</t>
  </si>
  <si>
    <t>alas beli pertalite wajib pakai  jabodetabek</t>
  </si>
  <si>
    <t xml:space="preserve">bingung  siap booth offline konsultasi aplikasi </t>
  </si>
  <si>
    <t xml:space="preserve">aman pakai hp spbu beli bbm </t>
  </si>
  <si>
    <t>beli pertalite solar pakai aplikasi  subsidi bbm rp triliun</t>
  </si>
  <si>
    <t xml:space="preserve">jelas putar riuh </t>
  </si>
  <si>
    <t>daftar  beli bbm pertalite solar laku juli daerah jawa barat</t>
  </si>
  <si>
    <t xml:space="preserve">panik yaa batas beli bbm subsidi aplikasi </t>
  </si>
  <si>
    <t xml:space="preserve">gegara putin atur laku besok tarif listrik beli pertalite pakai </t>
  </si>
  <si>
    <t>besok  beli bbm subsidi daftar situs  tempobisnis</t>
  </si>
  <si>
    <t>emang mantap sih terap bbm subsidi via  tekan simpang bbm lapang</t>
  </si>
  <si>
    <t xml:space="preserve">kalo sya sih ok aja tpi bpa sya gaptek gmna mksain beli hp beli bensin doank pkenya kaga aplikasi paksa pertamax boros bensin tpi duit ribet </t>
  </si>
  <si>
    <t>beli pertalite solar pakai aplikasi  subsidi bbm rp triliun nikmat orang kaya paham ya drun kadrun</t>
  </si>
  <si>
    <t xml:space="preserve">nih cek fakta ya beli bbm pertalite solat wajib aplikasi </t>
  </si>
  <si>
    <t xml:space="preserve"> lurus simpang siur bijak beli pertalite wajib daftar salah satu guna wajib unduh perta</t>
  </si>
  <si>
    <t xml:space="preserve">susah mesti download </t>
  </si>
  <si>
    <t>terkadang bikin bijak pikir plus minus nya sat set sat set bikin bijak   kebijakanpemerintah</t>
  </si>
  <si>
    <t>lupa install aplikasi  guys kecuali isi bbm nya ale ale</t>
  </si>
  <si>
    <t xml:space="preserve"> kendara motor daftar aplikasi  uji coba beli pertalite</t>
  </si>
  <si>
    <t>aman buka  smartphone beli pertalite spbu jelas</t>
  </si>
  <si>
    <t>dah bilang sayang  ga wajib pakai hp dgn aplikasi  pakai barcode cec</t>
  </si>
  <si>
    <t>suka makan sambel tengah tinggi harga cabe idul adha besok makan daging sapi ga ya kena tilang elektronik gimana nih  udah install udah tahan rkuhp semuabisakena</t>
  </si>
  <si>
    <t>bijak beli bbm subsidi jenis pertalite solar  terap jul</t>
  </si>
  <si>
    <t>tanya koq beli pertalite pake  sih</t>
  </si>
  <si>
    <t>beli bbm subsidi aplikasi  masyarakat unjung laman besok jumat juli simak berita lengkap newsone cariberitaditvone</t>
  </si>
  <si>
    <t xml:space="preserve">berita utama kripto hari juni gateio dailycryptonews bitcoinetf </t>
  </si>
  <si>
    <t>gais aplikasi  gak akses daftar websitenya</t>
  </si>
  <si>
    <t xml:space="preserve"> paksa maksyarakat moderen</t>
  </si>
  <si>
    <t xml:space="preserve">oh bayar pakai </t>
  </si>
  <si>
    <t>aplikasi  google play store banjir review bintang akibat guna keluh agam guna</t>
  </si>
  <si>
    <t>pandu akses  mudah praktis terima kasih bijak su</t>
  </si>
  <si>
    <t>curhat bang rakyat lg mumet gara aplikasi  tolakaplikasi</t>
  </si>
  <si>
    <t>dah bnyak tuh testimoni btp ruwet kacau apl  diterapin lap chaos deh mlibatkan antre orang layan error apl dll duh rusuh bener tdk ptgs spbu nya</t>
  </si>
  <si>
    <t>masyarakat wajib daftar aplikasi  beli pertalite solar banyak bug aplikasi banjir bintang</t>
  </si>
  <si>
    <t>juli pakai  yuk simak jelas</t>
  </si>
  <si>
    <t>lpg kg warga miskin dr perspektif pedjabat mesti warga miskin ni sulit utk akses  gaksie</t>
  </si>
  <si>
    <t>motor daftar  beli pertalite</t>
  </si>
  <si>
    <t>sri mulyani sistem siap   subsidi bbm lpg sasar</t>
  </si>
  <si>
    <t xml:space="preserve">motor mah gk pakai </t>
  </si>
  <si>
    <t>lupa download aplikasi  ya maksay biar beli bahan bakar pertalite solar jakarta indonesia</t>
  </si>
  <si>
    <t xml:space="preserve">duh susah download </t>
  </si>
  <si>
    <t xml:space="preserve">hasil pasar grabpools nomor shio kerbau selamat menang batikpoker togelgrabpools </t>
  </si>
  <si>
    <t xml:space="preserve">warga bandung nilai beli pertalite solar pakai aplikasi </t>
  </si>
  <si>
    <t>guys app  tuh gimana sihhh gak tega kalo ayah kalo ribet beli bensin</t>
  </si>
  <si>
    <t>maksa pakai aplikasi  otak dengkul tdk timbang buruk bijak tolakaplikasi</t>
  </si>
  <si>
    <t>daftar  besok beli pertalite</t>
  </si>
  <si>
    <t>bijak beli bbm subsidi jenis pertalite solar  terap juli</t>
  </si>
  <si>
    <t xml:space="preserve"> liga</t>
  </si>
  <si>
    <t xml:space="preserve">tuju orang miskin ponsel pintar beli lpg kg pakai </t>
  </si>
  <si>
    <t xml:space="preserve"> lurus simpang siur bijak beli pertalite wajib daftar salah satu guna wajib unduh </t>
  </si>
  <si>
    <t>masyarakat indo udah dapet gambar ga gimana beli bensin pake  kabar laku besok</t>
  </si>
  <si>
    <t xml:space="preserve">blm dibales jg pantau mbak lg donlot </t>
  </si>
  <si>
    <t>negara org damai negara sahkan hap zaman londo bikin  ngurus migor janji mgg smp skr blum kelar teroris papua msh selesai</t>
  </si>
  <si>
    <t>aplikasi tipu tipu  direview jelek guna</t>
  </si>
  <si>
    <t>susah negri  aplikasi bobrok kasih aja bikin susah rakyat</t>
  </si>
  <si>
    <t>iya ngisi bengsin kudu pake app  laku mobil doang ges tenang nyak</t>
  </si>
  <si>
    <t xml:space="preserve">gas cimahi pake </t>
  </si>
  <si>
    <t>gbsa buka  mas</t>
  </si>
  <si>
    <t>ayo dukung  biar subsidi sasar main mafia bbm</t>
  </si>
  <si>
    <t xml:space="preserve">pertalite beli gas elpiji kg aplikasi </t>
  </si>
  <si>
    <t>sy uda pake  dr thn spbu jkt msh yg ga bs klo hujan sinyal suka ngadat tuh ga bs pake  ato dkt halim tu jg ga bs sinyal ga bagus skrg blom nyoba lg siy</t>
  </si>
  <si>
    <t>perintah wajib  love</t>
  </si>
  <si>
    <t>tenang gak panik beli bbm subsidi solar pertalite via  sosialisasi booth offline jg tiap spbu gak paham situ</t>
  </si>
  <si>
    <t>orang sibuk ngurusin ngepusingin besok beli bensin pake  sampe sampe lupa besok udah masuk dzulhijah</t>
  </si>
  <si>
    <t>usul berangkat haji ad aplikasi  beres smua</t>
  </si>
  <si>
    <t>lupa nge download  bsk kali ya</t>
  </si>
  <si>
    <t xml:space="preserve">yg nyari duit rakyat yg susah </t>
  </si>
  <si>
    <t>banget tuju  lindung masyarakat aja hak nikmat bbm subsidi</t>
  </si>
  <si>
    <t>marak isu beli gas elpiji kg pakai   klarifikasi</t>
  </si>
  <si>
    <t>link unduh aplikasi  mudah transaksi beli bensin</t>
  </si>
  <si>
    <t xml:space="preserve">tenang beli elpiji kg daftar </t>
  </si>
  <si>
    <t>link download aplikasi  gratis beli solar subsidi pertalite</t>
  </si>
  <si>
    <t>open joki  gas</t>
  </si>
  <si>
    <t>sebenernya kalo kaum milenial sih oke oke aja ya kasi tuh orang tua gaptek pake  uwa aja kalo update aplikasi wa gedor gedor rumah kasi beliau kerjannya sopir</t>
  </si>
  <si>
    <t>fyi gt gt serentak september khusus jawa beli pertalite pakai  serentak september khusus jawa</t>
  </si>
  <si>
    <t>pertalite beli lpg kilogram daftar  alas nasional</t>
  </si>
  <si>
    <t>paham tuju pakai aplikasi  beli bbm subsidi</t>
  </si>
  <si>
    <t>beli bbm spbu wajib pakai aplikasi  berkah dagang bbm ecer</t>
  </si>
  <si>
    <t>aplikasi  laku milik mobil motor mewah pribadi kalo isi bbm subsidi kadang ngisi sampe full tank kalo elu motor isi bbm subsidi ribu ga pake aplikasi   jnck</t>
  </si>
  <si>
    <t xml:space="preserve">pt  persero alas balik ubah sistem beli pertalite solar wajib guna daftar website </t>
  </si>
  <si>
    <t xml:space="preserve">dpr dukung penuh  masif sosialisasi </t>
  </si>
  <si>
    <t>beli migor gt nik peduli lindung apps beli pertalite gt  beli gas kg gt  inti dr bikin ribet cm cabut subsidi klo rakyat ngga ribet beli yg non subsidi presiden bilang dana subsidi bangun ikn</t>
  </si>
  <si>
    <t>daerah wajib beli pertalite solar aplikasi  juli</t>
  </si>
  <si>
    <t>mantap nih dpr dukung penuh distribusi bbm subsidi adil via  biar salah sasar</t>
  </si>
  <si>
    <t>for your info nihh guys subsidi sasar juli  buka daftar website  lohh</t>
  </si>
  <si>
    <t>aktif hp spbu timbul ledak masyarakat heboh nya kait bijak perintah beli pertalite solar daftar aplikasi  banya</t>
  </si>
  <si>
    <t xml:space="preserve"> imbau masyarakat teliti menginput data situs  beli bbm jenis pertalite solar jalan lancar</t>
  </si>
  <si>
    <t xml:space="preserve">ayo daftarr subsidi sasar juli  buka daftar website </t>
  </si>
  <si>
    <t>info guna  lek</t>
  </si>
  <si>
    <t>udah tau bom subsidi sasar juli  buka daftar website  daftar langsung nihh</t>
  </si>
  <si>
    <t xml:space="preserve"> unlimited cash mod apk</t>
  </si>
  <si>
    <t>sebenernya pake apk  tu ga ribet mudah udah lanjur kesel duluan perintah sih aja udah suudzon duluan wkwkwk mari liat endingnya gimana</t>
  </si>
  <si>
    <t xml:space="preserve">mbahas lek kate tuku pertalite kudu nginstall </t>
  </si>
  <si>
    <t xml:space="preserve">ngapain cimahi isi mtr mah kota bdg ga pake </t>
  </si>
  <si>
    <t>ama bagaima asa janda dorong motor km hpnya lowbat erti aplikasi  ganggu diservernya anak atas motor</t>
  </si>
  <si>
    <t>berkat kerja netizen lawan cap susah  review jelek google play</t>
  </si>
  <si>
    <t xml:space="preserve"> beli elpiji subsidi wajib pakai </t>
  </si>
  <si>
    <t>daftar  aplikasi loh urbanreaders klik link</t>
  </si>
  <si>
    <t>tenang beli elpiji kg daftar  idcorner</t>
  </si>
  <si>
    <t>anjing nomor bokap udah daftar  pdhl beliau tolong daftarin</t>
  </si>
  <si>
    <t>laksana uji coba beli bensin jenis pertalite solar subsidi aplikasi  laku untu</t>
  </si>
  <si>
    <t>laksana uji coba beli bensin jenis pertalite solar subsidi aplikasi  laku guna sepeda motor uji coba beli bensin jenis pertalite solar laku guna mobil pribadi bus akap truk angkut barang</t>
  </si>
  <si>
    <t xml:space="preserve"> beli elpiji subsidi  sariagri tani</t>
  </si>
  <si>
    <t>download aplikasi  google play apps store</t>
  </si>
  <si>
    <t>besok beli pertalite pake  bayangin ribetnya kudu ambil kalo pas hujan uda pake jas hujan krukup kl uang uda taruh jok motor lha hape ni gimana bom sinyal susah kl ujan huwiii</t>
  </si>
  <si>
    <t>gausa nyebar fear lo nyebar hoax doang lo isi  pake motor</t>
  </si>
  <si>
    <t xml:space="preserve">tuju banget nih langkah  distribusi sasar mekanisme digital </t>
  </si>
  <si>
    <t xml:space="preserve"> lupa klo indonesia</t>
  </si>
  <si>
    <t xml:space="preserve">cukong panen </t>
  </si>
  <si>
    <t xml:space="preserve">juli  laku bijak beli pertalite aplikasi </t>
  </si>
  <si>
    <t xml:space="preserve">thread daftar aplikasi </t>
  </si>
  <si>
    <t xml:space="preserve">usut usut beli gas galon jg pake </t>
  </si>
  <si>
    <t>wajib daftar  beli pertalite laku kemudi mobil</t>
  </si>
  <si>
    <t>kaya orang orang makan berita ngisi bbm besok pake  nih spbu rame sore</t>
  </si>
  <si>
    <t>liat aplikasi  siang rating skrng udh</t>
  </si>
  <si>
    <t>jujur bingung tbtb  spbu gaboleh make hp ya gue aja buka hp dikit gue bang bang gorilla</t>
  </si>
  <si>
    <t>beli bbm wajib pakai  cek daftar</t>
  </si>
  <si>
    <t>mantap dehh dpr dukung program  manfaat masyarakat ya gais</t>
  </si>
  <si>
    <t>klo dgn  bsa dpt pertalite gratis sya mw beli hp bnyk tp klo dgn beli pertalite hrs mnggunakan uang  mending hp motor sya jual aj atur mnyusahkan rakyat rejim lucknut kpn binasax mrk ya</t>
  </si>
  <si>
    <t>udah ga ribet pake aplikasi  saran beli esemka esemka no ribet car</t>
  </si>
  <si>
    <t xml:space="preserve">gais panik ya batas beli bbm subsidi ya aplikasi </t>
  </si>
  <si>
    <t xml:space="preserve">hai sahabat catika lo tau gak aplikasi rame banget nih yap bener banget aplikasi </t>
  </si>
  <si>
    <t xml:space="preserve">byk prokontra bahaya ponsel isi bbm  ponsel sesuai dgn tentu aman lokasi guna amp untuk so gimana ni udah download </t>
  </si>
  <si>
    <t xml:space="preserve">ya bijak bijak dilakuin subsidi energi sasar amp gak disalahgunakan pertalite dipake orang pas bijak laku  sesuaiin stnk nopol guna aplikasi </t>
  </si>
  <si>
    <t>bijak guna aplikasi  konsumen pertalite solar subsidi laku juli nih aplikasi uji coba dilakuin kota sebar provinsi</t>
  </si>
  <si>
    <t>cap susah aplikasi  hujan review bintang</t>
  </si>
  <si>
    <t>daftar  aplikasi langkah</t>
  </si>
  <si>
    <t>aplikasi  google play store banjir review bintang akibat guna keluh agam</t>
  </si>
  <si>
    <t>unduh daftar yuk aplikasi  hp</t>
  </si>
  <si>
    <t xml:space="preserve">juli guna bbm subsidi tugas pertalite solar subsidi daftar </t>
  </si>
  <si>
    <t>yg bego yg gak niat penting spa hall laku bego main hp bsrcode  sama</t>
  </si>
  <si>
    <t xml:space="preserve">pertamax udah pake  praktis pake linkaja bayar tracking biaya konsumsi bbm bulan ribet ken beli pertalite kudu pake </t>
  </si>
  <si>
    <t>terap bbm subsidi via  tekan simpang bbm lapang</t>
  </si>
  <si>
    <t>yuk baca guys biar erti  simple lo</t>
  </si>
  <si>
    <t>hai kak terima kasih hubung linkaja mohon maaf nyaman sila coba ya kak pasti aplikasi linkaja  versi baru kondisi jaring keadaaan stabil terima kasih alc</t>
  </si>
  <si>
    <t>ya masyarakat yg milik  tanang ya tugas yg tugas cek layak beli bbm subsidi</t>
  </si>
  <si>
    <t>download  ngasi rating bintang</t>
  </si>
  <si>
    <t>min sdh pakai app  thn daftar unit kendara aplikasi daftar ulang kendara</t>
  </si>
  <si>
    <t xml:space="preserve">bayangin gak hp beli gas warung suruh karna daftar </t>
  </si>
  <si>
    <t>aplikasi  batas beli pertalite solar rating bintang penggunany</t>
  </si>
  <si>
    <t>apps  hadir cabang spbu mager ngitung data bensin yg gimana apps nya mantau bensin solusi yg mager kerja ngeribetin rakyat</t>
  </si>
  <si>
    <t>makan gofood ngojeknya grabbike disupirin gocar belanja shopetoped bensin  ngutangnya ci</t>
  </si>
  <si>
    <t>beli bbm  subsidi bbm sasar verifikasi dtks kemensos data</t>
  </si>
  <si>
    <t>laksana daftar guna bbm subsidi buka juli harap juli tanggal daftar sob batas beli oiya konsumen aplikasi  tahap daftar via website</t>
  </si>
  <si>
    <t>beli pertalite solar pake  eits salah baca yuk cek fakta lengkap komitmen  laksana tugas salur bbm subsidi yg hak daftar oiya khusus kendara roda ya sobat</t>
  </si>
  <si>
    <t>yg atur pake  pedulilindungi dll orang yg basmi</t>
  </si>
  <si>
    <t>gais kalo  akses isi bbm daftar website</t>
  </si>
  <si>
    <t>aplikasi  batas beli pertalite solar rating bintang guna</t>
  </si>
  <si>
    <t xml:space="preserve"> pertalite solar yg hp jadul cari duit beli hp android beli pertalite solar</t>
  </si>
  <si>
    <t>wajib pake  coba benah appnya udah bbrp kali ulang gamalu wajib rakyat app becus wajib</t>
  </si>
  <si>
    <t xml:space="preserve">seni ledak </t>
  </si>
  <si>
    <t>info teman daerah laku beli solar pertalite aplikasi  juli jual beli bbm subsidi dar pagi bbm subsidi spbu daerah kosong</t>
  </si>
  <si>
    <t>gak khawatir yg ga apk  bayar cash guys</t>
  </si>
  <si>
    <t xml:space="preserve"> klaim kode qr  atas curang takar bbm</t>
  </si>
  <si>
    <t>kriteria terima bansos kriteria terima gas subsidi kriteria terima bbm subsidi kriteria terima migor curah inti orang susah bikin sulit kartu jokowi gak sakti aplikasi moncer  ktp pedulilindungi</t>
  </si>
  <si>
    <t>besok beli premium pakai aplikasi  kendara roda</t>
  </si>
  <si>
    <t>valid kak ga miris liat ngmng udh riset jg diterapin  evaluasi dr yg sblmnnya</t>
  </si>
  <si>
    <t>yg apk  tenang aja nisa bayar cash</t>
  </si>
  <si>
    <t xml:space="preserve">akhir besok pake </t>
  </si>
  <si>
    <t xml:space="preserve">ram hp gw udah nolak aplikasi </t>
  </si>
  <si>
    <t xml:space="preserve">catat kendara roda wajib daftar </t>
  </si>
  <si>
    <t>daftar  hp beli pertalite spbu</t>
  </si>
  <si>
    <t>nanya teteh spbu cinambo pake  laku mobil aja motor</t>
  </si>
  <si>
    <t>bayar pake cash tenang aja apk  daftar kasih qr kode khusus yg cetak beli loh</t>
  </si>
  <si>
    <t>pakai qr code  cegah timbun pertalite solar</t>
  </si>
  <si>
    <t>install  nih</t>
  </si>
  <si>
    <t xml:space="preserve">solusi beli bengsin </t>
  </si>
  <si>
    <t>banget ni gaes ga  ga pakai hp beli bbm pakai printout qr</t>
  </si>
  <si>
    <t xml:space="preserve">nih pas praktekin beli ga maka hp ga apk </t>
  </si>
  <si>
    <t>sasar gaes lwt  udah regulasi tahun solar perta</t>
  </si>
  <si>
    <t>yuk baca guys biar erti  gak seribet</t>
  </si>
  <si>
    <t>beli gas lpg kg wajib pakai aplikasi  laku</t>
  </si>
  <si>
    <t>juli beli bbm biosolar pertalite pakai aplikasi  daftar</t>
  </si>
  <si>
    <t>beli bahan bakar subsidi pertalite solar batas khusus kendara daftar daftar  buka tanggal juli tata daftar  prfmnews  pertalite solar</t>
  </si>
  <si>
    <t>nih pas praktekin beli ga maka hp ga apk  printout qrcode</t>
  </si>
  <si>
    <t>sambal mr crispy sambal bawang tras balado rica hijau thai sambal rica link tag lee zii jia impi  ginting lee heeseung</t>
  </si>
  <si>
    <t xml:space="preserve">banget ni gaes ga  ga pakai hp beli bbm pakai printout qrcode good job </t>
  </si>
  <si>
    <t>how to syarat tata daftar aplikasi  transaksi pertalite solar subsidi pt  patra</t>
  </si>
  <si>
    <t>wacana orang miskin beli elpiji kg wajib aplikasi  amat nggak hp belielpiji kgpakaiaplikasi handphone aplikasi patraniaga pt</t>
  </si>
  <si>
    <t>abis nyari berita trnyata yg isi pertalite make motor bsk msih bebas gapake  untung panic buying isi pertalite hri</t>
  </si>
  <si>
    <t>how to syarat tata daftar aplikasi  transaksi pertalite solar subsidi pt  patra niaga laku bijak salur bahan bakar minyak bbm subsidi pertalite solar aplikasi</t>
  </si>
  <si>
    <t>sasar gaes lwt  udah regulasi tahun solar pertalite hak orang kaya yg mobil mewah</t>
  </si>
  <si>
    <t>cebong vs kampret menang liat aja aplikasi  klo bintang nya kampret cebong kalah</t>
  </si>
  <si>
    <t xml:space="preserve">ayuk install </t>
  </si>
  <si>
    <t>min pakai aplikasi  daftar makasih</t>
  </si>
  <si>
    <t>prahara mertua menantu indra bekti  holywings lontong jokowi siang</t>
  </si>
  <si>
    <t xml:space="preserve"> pasti beli lpg kg </t>
  </si>
  <si>
    <t>aplikasi  laku milik mobil mewah pribadi kalo isi bbm subsidi kadang ngisi sampe full tank kalo elu motor isi bbm subsidi ribu aplikasi   kntl</t>
  </si>
  <si>
    <t>iseng tuju salur bbm subsidi orang yamg hak adil distributif sistem pakai  dr  tekan seleweng lapang yg tuh bagus langkah gaes wajib dukung mudah</t>
  </si>
  <si>
    <t>granola chocolate vanilla granola cokelat vanilla link tag lee zii jia impi  ginting lee heeseung</t>
  </si>
  <si>
    <t>ngisi bbm pertalite udh pd habis padahal kota sy mesti ga dampak uji coba  oke jgn pertalite langka org paksa alih pertamax eh mdh an engga</t>
  </si>
  <si>
    <t>pertalite solar beli gas lpg kg pakai  laku</t>
  </si>
  <si>
    <t>pakai aplikasi  bbm subsidi sasar kerja hasil</t>
  </si>
  <si>
    <t>bijak aplikasi  beli pertalite solar janggal</t>
  </si>
  <si>
    <t>dah bilang sayang  ga wajib pakai hp dgn aplikasi  pakai barcode cece cece semuaaa juli daftar batas daftar wajib spbu nyodorin hp gaes</t>
  </si>
  <si>
    <t xml:space="preserve">link daftar  beli bbm subsidi pertalite solar wajib warga jogja kota portalyogya </t>
  </si>
  <si>
    <t>iya ku aplikasi  gak seribet pikir loh bayar cash aplikasi website milik hp sedia both offline nya sih banyak orang tuh dapat tau yg sbnarnya</t>
  </si>
  <si>
    <t>jual aplikasi premium garansi netflix sewa zoom akun coursehero grammarly scribd pro canva quillbot cek turnitin hulu hbo go amazon prime video picsart gold nordvpn vypr skillshare  vito prifad tom hiddleston lee zii jia popo miroh ribka viki</t>
  </si>
  <si>
    <t>beritasampit  tegas beli elpiji subsidi  jakarta sekretaris usaha  patra niaga irto ginting</t>
  </si>
  <si>
    <t>aplikasi  laku milik mobil mewah pribadi kalo isi bbm subsidi kadang ngisi sampe full tank kalo elu motor isi bbm subsidi ribu aplikasi   gblk</t>
  </si>
  <si>
    <t>kalo ga aplikasi  gimana qaqa nih daftar juli web jgn lg yg ga hp gmana ga wajib sayang sayang cintakuh daftar valid hak dpt bbm subsidi terima qrcode qrcode bs diprint transaksi</t>
  </si>
  <si>
    <t>milik aplikasi   daftar wibsite syarat yg tera</t>
  </si>
  <si>
    <t xml:space="preserve">kalo beli lampu tidur gak daftar </t>
  </si>
  <si>
    <t xml:space="preserve"> udh blg tenang tanggal juli provinsi aja nerapin bkl booth offline spbu bantu masyarakat ga paham konsul sana clear ya qrcode utk transaksi ga wajib hp aplikasi  dl</t>
  </si>
  <si>
    <t xml:space="preserve">pertalite beli elpiji kg pakai </t>
  </si>
  <si>
    <t xml:space="preserve"> beli pertalite pakai  orang kaya supir pakai akun supir wkwkwk</t>
  </si>
  <si>
    <t>praktik monopoli  akses wallet sedia linkaja</t>
  </si>
  <si>
    <t>baheula donlot aplikasi  ngaluarkeun kartu jiga kieu padahalmah pungsikeun btw baheula bikin kartu ieu ka wowoy ku undi umroh haha</t>
  </si>
  <si>
    <t>beli gas lpg kg pakai  uji coba ribu duduk</t>
  </si>
  <si>
    <t xml:space="preserve">perhati beli pertalite beli tabung gas lpg kg wajib daftar </t>
  </si>
  <si>
    <t>thread  yok masyarakat cerdas info valid  utama tanggal juli daftar bkn batas daftar gt valid hak dpt bbm subsidi gt qrcode transaksi beli hp simak thead</t>
  </si>
  <si>
    <t>brosur tent holder tent card akrilik display sisi link tag lee zii jia impi  ginting lee heeseung</t>
  </si>
  <si>
    <t xml:space="preserve">atas bocor bbm subsidi legislator golkar dukung daftar akun aplikasi </t>
  </si>
  <si>
    <t xml:space="preserve">beli pertalite sepeda motor daftar </t>
  </si>
  <si>
    <t>keren cac  dekat kek contek langkah</t>
  </si>
  <si>
    <t>beli bbm wajib make aplikasi  spbu ga main hp udah gitu jadi bayar elektronik kudu hubung linkaja gue gak make linkaja umpat sampe tulang</t>
  </si>
  <si>
    <t>beli pertalite solar pakai  besok warga jogja lokasi spbu uji coba baru</t>
  </si>
  <si>
    <t>beli pertalite pakai  daftar aplikasi website hp</t>
  </si>
  <si>
    <t>tutorial trial guna app  esok kota</t>
  </si>
  <si>
    <t>beli gas lpg kg pakai  sudan uji coba ribu duduk</t>
  </si>
  <si>
    <t>beli pertalite bandung wajib pakai aplikasi juli simak bikin akun  online</t>
  </si>
  <si>
    <t xml:space="preserve"> masyarakat khawatir isu beli elpiji subsidi </t>
  </si>
  <si>
    <t>pt  persero ketat beli lpg kg ketat beli wajib beli daftar  laku pertalite</t>
  </si>
  <si>
    <t xml:space="preserve">hampar langit maha sempurna bertahta bintang bintang angkasa bintang pijar review app </t>
  </si>
  <si>
    <t xml:space="preserve">beli gas lpg kg pakai aplikasi </t>
  </si>
  <si>
    <t xml:space="preserve">negara cepat internet mana pake internet masuk mall beli minyak beli bbm internet cepat tri </t>
  </si>
  <si>
    <t>beli bensin pake  gws aja deh kalo lg untung cepet halaman bayar linkaja kalo sinyal jelek nightmare</t>
  </si>
  <si>
    <t xml:space="preserve"> selesai bikin</t>
  </si>
  <si>
    <t>cegah seleweng bbm subsidi  tuju data konsumen sariagri tani</t>
  </si>
  <si>
    <t>inforaka  patra niaga sub holding commercial amp trading pt  persero uji coba beli pertalite solar guna daftar sistem  juli</t>
  </si>
  <si>
    <t>pertalite beli elpiji kg pakai  idcorner</t>
  </si>
  <si>
    <t>pt  laku beli bahan bakar minyak bbm jenis pertalite aplikasi  operasi yuk cek infografis</t>
  </si>
  <si>
    <t xml:space="preserve"> beli elpiji subsidi pakai </t>
  </si>
  <si>
    <t>beritasampit  kode qr  atas curang takar bbm jakarta sekretaris usaha  patra niaga irto ginting penggu</t>
  </si>
  <si>
    <t>aplikasi  wajib terima bbm subsidi juli alih alih sambut positif bijak protes keras kalang</t>
  </si>
  <si>
    <t>kode qr  atas curang takar bbm</t>
  </si>
  <si>
    <t xml:space="preserve">catat daftar kendara wajib </t>
  </si>
  <si>
    <t>gampang lg ga pakai hp ga apk  daftar juli  gaes jg beli ga hrs make hp printout qrcode gaes</t>
  </si>
  <si>
    <t xml:space="preserve">pt  persero uji coba daftar aplikasi  juli besok aplikasi  syarat beli bahan bakar minyak bbm subsidi jenis pertalite solar masyarakat </t>
  </si>
  <si>
    <t xml:space="preserve">kendara daftar  isi pertalite </t>
  </si>
  <si>
    <t>gak  gak hrs hp daftar juli gampang tinggal beli bbmnya jg ga pakai hp printoutqrcode gaes</t>
  </si>
  <si>
    <t xml:space="preserve">besok jumat juli beli bbm subsidi spbu pakai aplikasi </t>
  </si>
  <si>
    <t>atur laku besok tarif listrik beli pertalite pakai  terimakasih jok sedih rakyat</t>
  </si>
  <si>
    <t>tenang yg ga hp   daftar ditgl juli inget ya daftar bkn batas lgs dukung langkah bagus  bbm subsidi sasar yg hak gaes</t>
  </si>
  <si>
    <t>ngecheat terlanjursayang bniwajibdiaudit superjunior pertalite   aplikasi cheat spbu</t>
  </si>
  <si>
    <t>sy jg dah instal   amp linkaja tp  alih bayar lunkaja yg otomatis</t>
  </si>
  <si>
    <t>pt  persero laku guna aplikasi  beli bbm subsidi jenis pertalite solar rencana besok juli  uji coba buka daftar solar</t>
  </si>
  <si>
    <t xml:space="preserve">larang main hp deket pom bensin payment pake apps </t>
  </si>
  <si>
    <t>hola netizen takde hp gak  tenang  daftar ditgl juli inget ya daftar bkn batas lgs dukung langkah bagus  bbm subsidi sasar</t>
  </si>
  <si>
    <t>makan gofood ngojeknya grabbike disupirin gocar belanja shopetoped bensin  ngutangnya cicilan investasi saham pluang dokter halodoc beli minyak goreng pedulikindungi nkre negara aplikasi republik endonesah</t>
  </si>
  <si>
    <t xml:space="preserve">alas aplikasi  panen ulas jelek google play store  pertalite warganet spbu </t>
  </si>
  <si>
    <t>gak hp gak  tenang  daftar ditgl juli inget ya daftar bkn batas lgs dukung langkah bagus  bbm subsidi gk orang kaya gaes</t>
  </si>
  <si>
    <t>sy jg dah instal   amp linkaja tp  alih bayar lunkaja yg otomatis biaya tambah sprti aplikasi aya wae wot gawoh adong sajo</t>
  </si>
  <si>
    <t xml:space="preserve">pt  wajib guna bbm subsidi jenis pertalite solar daftar website </t>
  </si>
  <si>
    <t xml:space="preserve">gk hrs dr  gaes daftar juli inget ya daftar bkn batas beli layan bingung spbu bkl booth offline bantu lho tenang aja masyarakat bagus </t>
  </si>
  <si>
    <t>baik  bkin mudah ga hp  dl daftar web spbu juli jg both offline utk bantu masyarakat yg ga paham juli daftar gaes bkn batas ya</t>
  </si>
  <si>
    <t>pt  wajib guna bbm subsidi jenis pertalite solar daftar website  juli</t>
  </si>
  <si>
    <t>juli beli pertalite daftar  simak biar salah kaprah</t>
  </si>
  <si>
    <t>tau maen ponsel spbu bahaya semenjak aplikasi  sungguh bagong demokrasisistemsampah</t>
  </si>
  <si>
    <t xml:space="preserve">tetep pake aplikasi utk beli pertalite aplikasi aja blm beres  </t>
  </si>
  <si>
    <t xml:space="preserve">derita hp batre ngedrop rumah butuh peduli lindung </t>
  </si>
  <si>
    <t>pertalite solar masyarakat pakai  beli gas kg putus menek</t>
  </si>
  <si>
    <t>simak ya daftar tgl juli ga pakai hp dgn aplikasi  provinsi ya upaya  subsidi bbm sasar gaes beli ga pakai hp printout barcode yg stelah validasi</t>
  </si>
  <si>
    <t xml:space="preserve"> sulit rakyat beli bbm subsidi masyarakat guna bbm subsidi milik smartphone utk akses aplikasi  sosialisasi edukasi amp pentahapan terap sistem</t>
  </si>
  <si>
    <t>lengkap tutorial bro proses donlot jalan klik batal trus tutup aplikasi play store buka  baru muncul ruang mereview</t>
  </si>
  <si>
    <t xml:space="preserve"> pasti evaluasi minggu guna </t>
  </si>
  <si>
    <t>video aplikasi  direview jelek warganet google play</t>
  </si>
  <si>
    <t xml:space="preserve"> linkaja biaya aministrasi rakyat mohon cek curhatan wag</t>
  </si>
  <si>
    <t>paham kasih informasi valid kait salur bbm subsidi masyarakat dr  sasar via  yuk cek daftar tgl juli ya bkn dibatesin beli bbm transaksi lho gak pakai hp</t>
  </si>
  <si>
    <t>implementasi transaksi beli bbm subsidi jenis pertalite solar aplikasi  laku pulau jawa</t>
  </si>
  <si>
    <t>blum wajib vaksin aplikasi lindung bal pakai ehac dng barcode aplikasiya ehac sdh masuk lindung  banking nyusul include lindung</t>
  </si>
  <si>
    <t>biasa tentuin tuju fams gitu dunia digital marketing tentuin objectivenya mikirin viral  ups</t>
  </si>
  <si>
    <t xml:space="preserve">uji coba beli pertalite aplikasi </t>
  </si>
  <si>
    <t xml:space="preserve"> beli lpg kg </t>
  </si>
  <si>
    <t xml:space="preserve">pertalite solar beli tabung elpiji kilogram daftar aplikasi </t>
  </si>
  <si>
    <t>rugi konsumen biaya admin transfer linkaja biaya platform  bumn untung puluha</t>
  </si>
  <si>
    <t>beli bensin pake  biar dpt poin eh pom bensin yg nggak alat rusak</t>
  </si>
  <si>
    <t>perintah beneran gak takut  nya bikin mod</t>
  </si>
  <si>
    <t>full tank bengsin sek mumpung rung nganggo aplikasi  mobilitas an spbu malam lihat</t>
  </si>
  <si>
    <t>dinas dagang industri disdagin kota bandung sebut kendara sepeda motor aplikasi  isi pertalite spbu   bandung pertalite solar cekdulumedcom</t>
  </si>
  <si>
    <t>aplikasi  fungsi data konsumen bbm subsidi</t>
  </si>
  <si>
    <t>besok beli bbm pakai aplikasi  gas elpiji kg</t>
  </si>
  <si>
    <t>juli bbm pertalite solar beli pakai  langgan daftar website pertami</t>
  </si>
  <si>
    <t>terap sistem daftar guna pertalite solar subsidi sistem  sambut giat transportasi nelayan manado skeptisisme tahap batas uji coba nusantara kompas</t>
  </si>
  <si>
    <t>pengaruh aplikasi  supir angkot kota</t>
  </si>
  <si>
    <t>halo spbu kota sy dgn no spbu alamat jl kartini palu isi pake apps  alas alat low banget dapet kek ginian kota beneran masalah sistem operator msh gaptek</t>
  </si>
  <si>
    <t>kmrn sy telpon  sy saran sbb aplikasi gak praktis hrsnya reg dg data ktp aja gak hrs reg brp bnyk kendara nopolnya brp yg quota beli data integrasi dg perban jg hrs luas utk auto debit interface aplikasi jg</t>
  </si>
  <si>
    <t xml:space="preserve"> rencana terap beli lpg kg aplikasi  direktur pasar regional pt  patra niaga mars ega legowo rencana tekan konsumsi lpg kg barang subsidi lpg kg</t>
  </si>
  <si>
    <t>wajib kendara roda news berita bbm pertalite solar spbu   pandang pandanganjogja kumpar kumparannews</t>
  </si>
  <si>
    <t>google store tolong boikot  plis</t>
  </si>
  <si>
    <t>kendara sepeda motor wajib pakai  beli pertalite</t>
  </si>
  <si>
    <t>enak nih kalo jem kendara ga gantiin isi bensin ga  hehebe</t>
  </si>
  <si>
    <t xml:space="preserve">nikmat kalang masyarakat gas lpg kg jual </t>
  </si>
  <si>
    <t>polemik beli bbm pertalite solar pakai  kemal palevi kalo spbu ledak jamaah gimana</t>
  </si>
  <si>
    <t>pertalite solar beli gas lpg kg  cek daftar</t>
  </si>
  <si>
    <t>download aplikasi  app store play store stonks</t>
  </si>
  <si>
    <t>untung aplikasi  guna point</t>
  </si>
  <si>
    <t>wacana guna aplikasi  kendara roda</t>
  </si>
  <si>
    <t>beli migor hrs pake ktp beli pertalite hrs pake aplikasi  klo rakyat aja super ketat gilir jabat byk koruptif amp hidup hedon silitlah</t>
  </si>
  <si>
    <t xml:space="preserve">juli beli pertalite solar daftar </t>
  </si>
  <si>
    <t xml:space="preserve">nunggu duit kembali ketimbang ngisi bensin lihat jg ga ubah harga guna cashless ketimbang tunai </t>
  </si>
  <si>
    <t xml:space="preserve">yg </t>
  </si>
  <si>
    <t>guna motor pakai aplikasi  beli pertalite</t>
  </si>
  <si>
    <t>beli pertalite solar daftar  juli butuh daftar kendara lengkap cek</t>
  </si>
  <si>
    <t xml:space="preserve">secretary corporate  irto ginting titik lokasi spbu layan daftar beli pertalite solar via website </t>
  </si>
  <si>
    <t>besok warga bandung beli pertalite solar pakai  cek</t>
  </si>
  <si>
    <t>duit onlen gin tu uda teknologi umur an mass adoption indonya tahun skrg uda ngeluh cashless  solusi antri yg panjang pom bensin</t>
  </si>
  <si>
    <t>urgensi nya beli pake  daerah gak guna android bbm solar pertalite beras</t>
  </si>
  <si>
    <t>sepeda motor aplikasi  beli pertalite disdagin kota bandung</t>
  </si>
  <si>
    <t xml:space="preserve"> jaga subsidi bbm sasar via </t>
  </si>
  <si>
    <t xml:space="preserve">paksa uninstall simontok biar ruang download </t>
  </si>
  <si>
    <t xml:space="preserve">dukung terap  baru biar sasar yg hak dapet sesuai </t>
  </si>
  <si>
    <t>perintah rencana masyarakat beli lpg kg aplikasi  upaya salur subsidi lpg kg sasar cnnindonesia</t>
  </si>
  <si>
    <t>yg ngeluh atur pake aplikasi  pertalite sma pedulilindungi minyak goreng sosmed</t>
  </si>
  <si>
    <t xml:space="preserve">good job  subsidi sasar terap baru via </t>
  </si>
  <si>
    <t xml:space="preserve">pantau spbu antri antisipasi besok pakai aplikasi </t>
  </si>
  <si>
    <t>dukung langkah   lindungin hak konsumen</t>
  </si>
  <si>
    <t xml:space="preserve">kalo gin clear kait </t>
  </si>
  <si>
    <t>beli bensin pertalite pake aplikasi  mobil motor beli bensin pertalite bi</t>
  </si>
  <si>
    <t xml:space="preserve">sy elok mengkatagorikan mobil mewah yg elok terapin subsidi golong masyaraka indonesia dgn patuh mengunakan aplikasi </t>
  </si>
  <si>
    <t>omw maju buka spbu  apk unlimited point</t>
  </si>
  <si>
    <t>catat daerah warga wajib pakai  beli bbm subsidi</t>
  </si>
  <si>
    <t>beli lpg kilo pakai  aplikasi install hpkan positif hpnya perintah utang rakyat yg dinyicil</t>
  </si>
  <si>
    <t xml:space="preserve">ngisi bensin aja  hmm oh why nyusahin masyarakat </t>
  </si>
  <si>
    <t>beli bensin pertalite pake aplikasi  mobil motor beli bensin pertalite antri</t>
  </si>
  <si>
    <t>pt  uji coba transaksi pertalite solar aplikasi  jumat juli cek kota lokasi uji coba link merahputihcom bensin pertalite solar newsmerahputih</t>
  </si>
  <si>
    <t xml:space="preserve">tanggap warga jateng beli bbm subsidi wajib pakai </t>
  </si>
  <si>
    <t>instal  kerepot michat lancar</t>
  </si>
  <si>
    <t>tahap bijak beli bbm jenis pertalite solar  terap wilayah kota bukittinggi kabupaten tanah datar kota banjarmasin kota bandung kota tasikmalaya kota yogyakarta</t>
  </si>
  <si>
    <t xml:space="preserve">pertalite solar beli gas elpiji kg wajib daftar </t>
  </si>
  <si>
    <t xml:space="preserve"> aplikasi  fungsi data masyarakat salur bbm subsidi sasar</t>
  </si>
  <si>
    <t>beli bahan bakar minyak pakai aplikasi  salur bbm subsidi sasar sulit sasar subsidi perintah</t>
  </si>
  <si>
    <t>beli bbm pakai  laku juli konsumen smartphone solusi  via</t>
  </si>
  <si>
    <t>jenis kendara wajib aplikasi  beli bbm jenis pertalite solar bijak laku kendara roda</t>
  </si>
  <si>
    <t>kereunnn rencana terap aplikasi  perintah pusat guna bahan bakar minyak bbm bersubsi</t>
  </si>
  <si>
    <t>terima bbm subsidi aplikasi  cek daftar spbu   solar pertalite</t>
  </si>
  <si>
    <t>jenis kendara wajib pakai aplikasi  beli pertalite solar laku juli</t>
  </si>
  <si>
    <t>bang jansen dapat abang wacana beli pertalite aplikasi  beli minyak goreng peduli lindung sih elite pikir bikin atur mudah meribetkan aja bbm perak ribut indonesia</t>
  </si>
  <si>
    <t>bicara teknis mesin filter hak pake pertalite pertamax ya lihat kompresi mesin kendara aja keren kalo aplikasi  nentuin otomatis beli bbm masukin merk tipe kendara</t>
  </si>
  <si>
    <t xml:space="preserve"> syarat main ponsel spbu</t>
  </si>
  <si>
    <t xml:space="preserve"> sedia jalur layan daftar online aplikasi  website tera</t>
  </si>
  <si>
    <t>daftar aplikasi  milik roda</t>
  </si>
  <si>
    <t>bijak rubah nama jalan isi bensin pake  sebenernya turun atur belakang tunggu aja   mekanisme taktis sosialisasi orang pinter indonesia</t>
  </si>
  <si>
    <t>gajadi pergi sm ayang ngurusin data  fakuy</t>
  </si>
  <si>
    <t>sih ken posisi aplikasi  alternatif bayar ovo gopay macam bayar utama kalo bayar utama kudu musti tunai</t>
  </si>
  <si>
    <t>spbu kota yogyakarta alami naik minta pertalite akibat salah kaprah guna  juli aplikasi</t>
  </si>
  <si>
    <t xml:space="preserve"> apk mod</t>
  </si>
  <si>
    <t>aplikasi  kendara roda  spbu  lampungpost</t>
  </si>
  <si>
    <t xml:space="preserve">tdi niatx nganter adik doang tpi jarum bensin bensin habis topup linkaja jalan pom jauh bantu </t>
  </si>
  <si>
    <t>solusi rakyat miskin  mod unlimited money wkwkwk langsung aja tkp   tepatsasaran aplikasi asli langsung download playstore</t>
  </si>
  <si>
    <t>orangorang kontra ama wajib pake  dah enak ya gaperlu bawa dompet ngisi bensin</t>
  </si>
  <si>
    <t>pertalite beli gas lpg kilogram wajib daftar  newsrctiplus</t>
  </si>
  <si>
    <t>susul pertalite solar gilir gas lpg kg pakai  simak jelas</t>
  </si>
  <si>
    <t>beli pertalite via aplikasi  jawa september</t>
  </si>
  <si>
    <t>dinas dagang industri disdagin kota bandung sebut kendara sepeda motor aplikasi  isi pertalite spbu</t>
  </si>
  <si>
    <t>tracking guna kalo money fungsi aja kayak bayar cash  depa tracking hak tidak pake pertalite bang</t>
  </si>
  <si>
    <t xml:space="preserve"> boleh guna ponsel spbu  larang  aplikasi  spbu pertalite solar</t>
  </si>
  <si>
    <t>mgtnews kota bandung salah daerah wajib beli bbm subsidi pertalite solar aplikasi  imbas bijak warga bandung bondong isi bensin cimahi mgtplay mgtradio</t>
  </si>
  <si>
    <t>cmo agen slot online mudah menang cmo popo iniinstagram getwellsoonyuta  terlanjursayang ma semuabisakena slotonline slotgacor depositpulsa agenslotgacor togelonline casinoonline bonusdeposit bonusslot judigacor deposittermurah</t>
  </si>
  <si>
    <t>pertalite solar perintah rencana batas beli lpg kg aplikasi  ekonom nilai bijak sulit kalang tengah milik ponsel analisis cnnindonesia</t>
  </si>
  <si>
    <t>pertalite solar akses elpiji kg aplikasi  masuk akal http</t>
  </si>
  <si>
    <t>ga sama toll klo sama toll ga pake  mending  bikin kartu pas ngisi tinggal langsung tap top up alfamart indomaret dekat ga pake handphone</t>
  </si>
  <si>
    <t>pertalite solar akses elpiji kg aplikasi  masuk akal</t>
  </si>
  <si>
    <t>ken liat suara pro dgn bijak beli pertalite dgn aplikasi  yak</t>
  </si>
  <si>
    <t>beli migor pake ktp beli pertalite pakai  milu pakai kardus</t>
  </si>
  <si>
    <t>dpr guna  beli pertalite awas ketat</t>
  </si>
  <si>
    <t xml:space="preserve"> bph migas harap salur solar pertalite kontrol</t>
  </si>
  <si>
    <t xml:space="preserve">aplikasi  jaga jarak meter aytalk smartconsumer </t>
  </si>
  <si>
    <t xml:space="preserve">bbm subsidi nikmat kalang alas perintah bersikukuh </t>
  </si>
  <si>
    <t>jenis kendara wajib pakai  beli bbm laku juli</t>
  </si>
  <si>
    <t xml:space="preserve">beliau dapat tuju beli bbm subsidi aplikasi ringan anggar bengkak kembang teknologi digital guna aplikasi </t>
  </si>
  <si>
    <t>juli beli pertalite solar wajib daftar  thread</t>
  </si>
  <si>
    <t>jelang laksana uji coba batas beli pertalite solar edar alamat web aplikasi  palsu alias abal abal</t>
  </si>
  <si>
    <t>saking ngga yg pake aplikasi ya sampe wajib gin btw promo  mayan sih</t>
  </si>
  <si>
    <t xml:space="preserve"> gabisa cash anjir bgt ujung ujung pegawai  nyediain alat bayar kaya tol</t>
  </si>
  <si>
    <t xml:space="preserve"> kontol bgt</t>
  </si>
  <si>
    <t>bantu sosialisasi pakai  bang sy jogja rada keder dg atur sy yaqin bnyk org yg jg alami tsbt sy coba bpk kartu apps spy bbm subsidi sasar org khan bnyk yg awam dg bang</t>
  </si>
  <si>
    <t>beli pertalite pakai aplikasi  pakai qr code terap wilayah mobil linknya</t>
  </si>
  <si>
    <t>udh pake  kalo ngisi bensin emg enak si jalur khusus ga antri tp pake kartu tinggal gesek bkn dr apk</t>
  </si>
  <si>
    <t>baru beli pertalite pakai aplikasi  pakai qr code terap wilayah mobil linknya</t>
  </si>
  <si>
    <t>maksud beli bbm pake  dr  nya bagus sebenernya biar bbm subsidi sasar sedia booth offline jg tiap spbu</t>
  </si>
  <si>
    <t>raup untung rp juta kilogram pria sintang nekat jual sisik trenggiling pontianak sintang teringgiling hewan binatang  batuhankaracakaya</t>
  </si>
  <si>
    <t>mikirin gimana buka aplikasi  pombensin</t>
  </si>
  <si>
    <t xml:space="preserve">aplikasi  cek guna  spbu pertalite solar </t>
  </si>
  <si>
    <t>ga pake app  om coba googling deh da info yg utama dftr situs ntr dr situ dpt qr code orang beda qrcode yg dipake beli bsa didownload dn safe nti tinggal nunjukin spbu</t>
  </si>
  <si>
    <t>implementasi transaksi beli bbm subsidi jenis pertalite solar aplikasi  laku pulau jawa september mostupdate</t>
  </si>
  <si>
    <t>aplikasi  cetak informasi tambah beli bbm subsidi sobat bayar cash cashless sesuai metode bayar spbu tunjuk qr code hasil daftar terima kasih emil</t>
  </si>
  <si>
    <t>terima kasih rakyat sejahtera stnk beli pertalite cocok nopol daftar per</t>
  </si>
  <si>
    <t>tau contoh konsekuensi norma konflik liat  you re welcome</t>
  </si>
  <si>
    <t>alas  percaya bansos korupsi</t>
  </si>
  <si>
    <t>beli bbm subsidi pakai aplikasi pks negara bikin repot rakyat pipinsopian   bbm pertalite pertamax pks</t>
  </si>
  <si>
    <t>juli pt  wajib masyarakat aplikasi  beli pertalite solar subsidi aman buka hp spbu simak jawab</t>
  </si>
  <si>
    <t>unduh aplikasi  beli pertalite solar bayar tunai</t>
  </si>
  <si>
    <t xml:space="preserve">syarat dokumen daftar beli pertalite solar </t>
  </si>
  <si>
    <t xml:space="preserve">daftar beli pertalite solar juli </t>
  </si>
  <si>
    <t xml:space="preserve"> rencana terap beli lpg kg aplikasi  direktur pasar regional pt  patra niaga mars ega legowo rencana tekan konsumsi lpg kg barang subsidi gun</t>
  </si>
  <si>
    <t xml:space="preserve">daftar guna pertalite solar aplikasi </t>
  </si>
  <si>
    <t xml:space="preserve"> didownload google play store app store hati hati  resmi</t>
  </si>
  <si>
    <t>anggota komisi vi dpr ri fraksi nasdem kakak rudi hartono bangun bijak beli bbm jenis pertalite solar subsidi daftar website  sulit masyarakat guna</t>
  </si>
  <si>
    <t xml:space="preserve">warga beli pertalite wajib pakai aplikasi </t>
  </si>
  <si>
    <t xml:space="preserve">bbm beli lpg kg daftar </t>
  </si>
  <si>
    <t>beli lpg kg pakai aplikasi  tanggap dagang konsumen via</t>
  </si>
  <si>
    <t>mudah daftar  beli solar pertalite via</t>
  </si>
  <si>
    <t>juni beli migor pake kk amp pedulilindungi juli sejarah ri beli bbm subsidi pake aplikasi  tarif dasar listrik agustus suami yg genjot bini nye wajib barcode amburadul amp hancur nih bangsa</t>
  </si>
  <si>
    <t xml:space="preserve">udah download </t>
  </si>
  <si>
    <t xml:space="preserve">kriteria mobil motor larang isi pertalite daftar </t>
  </si>
  <si>
    <t>ekonom nilai upaya  beli lpg kg  kes paksa</t>
  </si>
  <si>
    <t>ketat beli pertalite solar pt  persero ketat beli lpg kg sasar ketat beli wajib beli daftar  beritasonora</t>
  </si>
  <si>
    <t>beli bensin spbu pakai  bayar pakai linkaja metoda bayar yg populer</t>
  </si>
  <si>
    <t xml:space="preserve">warga bandung wajib beli pertalite pakai motor aplikasi </t>
  </si>
  <si>
    <t>warga beli elpiji kg aplikasi  sulit bandarlampung sumatra</t>
  </si>
  <si>
    <t xml:space="preserve"> tai bgt sih smua orang smartphone</t>
  </si>
  <si>
    <t>layang pandang alam aplikasi  hlkompasiana</t>
  </si>
  <si>
    <t xml:space="preserve">beli pertalite solar subsidi pakai </t>
  </si>
  <si>
    <t>nyenengin app  bikin mantap make sepeda transportasi ngantor amp manggung</t>
  </si>
  <si>
    <t xml:space="preserve">dpr awas ketat guna </t>
  </si>
  <si>
    <t>bentar nanya yg beli pertalite yg daftar  kendara roda aja</t>
  </si>
  <si>
    <t xml:space="preserve">beli lpg subsidi pakai </t>
  </si>
  <si>
    <t>kaya emang musti alih keluar beli pertamax males daftar  ngerawat mesin sih</t>
  </si>
  <si>
    <t>info lengkap silah hubung  call center kunjung situs resmi  subsiditepat</t>
  </si>
  <si>
    <t xml:space="preserve">breaking news  implementasi daftar guna bbm subsidi </t>
  </si>
  <si>
    <t>daftar daerah tahap wajib daftar  beli pertalite solar khusus roda</t>
  </si>
  <si>
    <t xml:space="preserve">guna elpiji kg wajib daftar website </t>
  </si>
  <si>
    <t>pasal tanggal juli bal daftar  beli pertalite solar subsidi</t>
  </si>
  <si>
    <t xml:space="preserve">cari orang miskin milik ponsel pintar beli lpg kg pakai </t>
  </si>
  <si>
    <t>nyobain pake  deg an takut motor ngalangin antri tp td dipinggirin dl jalan mesin scan qr pilih kendara yg bikin nervous lg masukin pin overall kayak atm vibesnya buru lok spbu tole iskandar depok</t>
  </si>
  <si>
    <t>perhati data beli pertalite solar subsidi  laku mobil</t>
  </si>
  <si>
    <t xml:space="preserve">pertalite solar beli gas lpg kg wajib daftar aplikasi </t>
  </si>
  <si>
    <t xml:space="preserve">simak beli pertalite </t>
  </si>
  <si>
    <t xml:space="preserve">mgkn blum download </t>
  </si>
  <si>
    <t>daftar kendara website  dapat qr code juli</t>
  </si>
  <si>
    <t>kasih bintang rame apk  gw otw pindah shell sok an pake aplikasi biar liat ma</t>
  </si>
  <si>
    <t>yg pakai  spbu coco patrang mas spbu mah jgn</t>
  </si>
  <si>
    <t>beli pertalite solar pakai aplikasi  warga larang pakai hp spbu</t>
  </si>
  <si>
    <t>beli lpg kg daftar aplikasi  sariagri tani</t>
  </si>
  <si>
    <t>rkuhp ku tutup  dewan plejing rakyat</t>
  </si>
  <si>
    <t xml:space="preserve">guna sepeda motor daftar  beli pertalite juli </t>
  </si>
  <si>
    <t>beli minyak pake pedulilindungi beli bensin pake  ya nama negara teknolohi</t>
  </si>
  <si>
    <t>iya sebentar install  ya</t>
  </si>
  <si>
    <t>beli bbm jenis pertalite solar subsidi daftar aplikasi  beli produk bahan bakar tahap terap daerah wilayah indonesia</t>
  </si>
  <si>
    <t xml:space="preserve"> ku  mu</t>
  </si>
  <si>
    <t xml:space="preserve">main hp larang spbu bayar bbm suruh pake </t>
  </si>
  <si>
    <t xml:space="preserve">konsumen lpg kilogram kg harus daftar situs </t>
  </si>
  <si>
    <t xml:space="preserve">hai sobatkom tau pt  persero tetap atur beli bahan bakar minyak bbm jenis pertalite solar subsidi kendara roda aplikasi </t>
  </si>
  <si>
    <t xml:space="preserve">pertalite solar beli gas lpg </t>
  </si>
  <si>
    <t>gas lpg kg khusus masyarakat miskin yak masyarakat miskin kalo hpnya gak jadul ya hpnya ram gb yg kalo donlod wasap aja memori langsung penuh gabisa donlod  gara hpnya kentang gimana si anying</t>
  </si>
  <si>
    <t>pro kontra beli pertalite  smartphone</t>
  </si>
  <si>
    <t>beli pertalite pakai  serentak september khusus jawa</t>
  </si>
  <si>
    <t>ortu kelen udh ngeluh isi bensin pake  lom</t>
  </si>
  <si>
    <t>pertalite beli lpg kilogram pakai aplikasi  pt</t>
  </si>
  <si>
    <t>akses aplikasi  qr code terima diprint out bawa spbu isi pertalite solar   petralite solar subsidi</t>
  </si>
  <si>
    <t>ketua ylki tulus abadi nilai beli bahan bakar minyak bbm subsidi aplikasi   hilang akses masyarakat hp jaring internet</t>
  </si>
  <si>
    <t>nunggu versi  lite ajhhh</t>
  </si>
  <si>
    <t>install aplikasi linkaja wajib topup saldo isi bayar  uang stor aplikasi linkaja gak habis beli pertalite sisa saldo endap</t>
  </si>
  <si>
    <t xml:space="preserve"> perintah pinjam rakyat tahu  wajib bayar aplikasi wallet linkaja install aplikasi</t>
  </si>
  <si>
    <t>alhamdulillah banget kalo layan digital  jalan sesuai harap</t>
  </si>
  <si>
    <t xml:space="preserve">anying citer kalong wkwkwkwk dr cit pb rf kembang </t>
  </si>
  <si>
    <t>kayak aplikasi ngasih promo deh aplikasi go public  nih ga niat kash diskon ngisi bensin biar kayak si wallet ecomerce belah gt gabung bayar kayak app belah beli pake pmbayaran in ksh diskon</t>
  </si>
  <si>
    <t xml:space="preserve">daftar website  masyarakat khawatir milik aplikasi </t>
  </si>
  <si>
    <t>fokus daftar web  beli bbm subsidi wajib pakai</t>
  </si>
  <si>
    <t>sistem  bantu cocok data guna</t>
  </si>
  <si>
    <t>beli migor curah pake pedulilindungi beli solar pertalite pake  pake aplikasi urus administrasi pake fotocopy ktp elektronik</t>
  </si>
  <si>
    <t>silah download  ya kak maaf gimana</t>
  </si>
  <si>
    <t>sesuai yg sy duga tempo getol nyari duit via aplikasi sampe bisnis dg rakyat pedulilindungi  dasar jabat malas ga kreatif kaleee klean</t>
  </si>
  <si>
    <t>rating  luarbiasa</t>
  </si>
  <si>
    <t>beli bbm subsidi pakai  rudi hartono susah rakyat</t>
  </si>
  <si>
    <t xml:space="preserve"> patra niaga uji coba layan pertalite solar guna daftar website </t>
  </si>
  <si>
    <t xml:space="preserve"> modded arm apk</t>
  </si>
  <si>
    <t>salur lpg kg pakai data dtks daftar  saran amat entryurl</t>
  </si>
  <si>
    <t>kasih bintang rame apk  gw otw pindah shell sok an pake aplikasi biar liat maju nyusahin rakyat rezimtakutdi kritik rezimtakutdi kritik</t>
  </si>
  <si>
    <t xml:space="preserve">provinsi besok daftar guna aplikasi </t>
  </si>
  <si>
    <t>ningkatin skill cuman download  liat lokasi deh gampang de friendswithdex fwd de durableenginee dieselhematbertenaga</t>
  </si>
  <si>
    <t xml:space="preserve"> tanggal juli daftar  uttuk kendara ruda atas</t>
  </si>
  <si>
    <t xml:space="preserve">umum beli gas elpiji pakai </t>
  </si>
  <si>
    <t>simak beli pertalite  idcorner</t>
  </si>
  <si>
    <t>beli bbm sistem digitalisasi  antisipasi beli bbm ulang</t>
  </si>
  <si>
    <t xml:space="preserve">beli bbm subsidi pakai  kemal palevi spbu ledak jamaah bbmsubsidi kemalpalevi </t>
  </si>
  <si>
    <t>beli bbm wajib pakai  larang main hp spbu</t>
  </si>
  <si>
    <t>hallo sy sdg isi bio data  kayak ganggu bantu</t>
  </si>
  <si>
    <t>juli  wajib guna aplikasi  bbm subsidi kota</t>
  </si>
  <si>
    <t xml:space="preserve">plot twistnya dagang kelontong wajib aplikasi </t>
  </si>
  <si>
    <t>ga buka   spklu</t>
  </si>
  <si>
    <t>pantau aplikasi  playstore terpongkeng rating netijen serah stuck ide</t>
  </si>
  <si>
    <t>temu jodoh  hadir fitur chat</t>
  </si>
  <si>
    <t>rakyat suruh pilih aplikasi  sistem bayar linkaja pertalite beli cash pertamax bayar linkaja perintah saldo endap aplikasi tsb</t>
  </si>
  <si>
    <t xml:space="preserve">tahap kota kabupaten provinsi terap uji coba beli pertalite solar sistem </t>
  </si>
  <si>
    <t>endonesia kena prank download  huahahahah uda ribut minggu bilang pake website bumn emang bisa bikin proyek aja langsung aja tentuin cc gak kepo data data syampah</t>
  </si>
  <si>
    <t>pertalite solar masyarakat pakai  beli gas kg putus tekan subsidi harap gas kg masyarakat kelas ekonomi rendah tengah thoughts  indihome</t>
  </si>
  <si>
    <t>mudah antisipasi kendala lapang akses aplikasi  qr code terima diprint out bawa fisik spbu isi pertalite solar</t>
  </si>
  <si>
    <t>kasih nilai aja aplikasi  playstore appstore kayak si pel</t>
  </si>
  <si>
    <t>organda jabar perintah atur wajib guna aplikasi  beli pertalite solar laku angkut</t>
  </si>
  <si>
    <t>beli nya ga pakai aplikasi   barcode daftar subsidi website menu aplikasi  tinggal tunjuk barcode discan tugas bayar tunai</t>
  </si>
  <si>
    <t>salur pertalite solar layan digital  uji coba moga jalan lancar</t>
  </si>
  <si>
    <t xml:space="preserve"> laku  beli elpiji kg money</t>
  </si>
  <si>
    <t>kalo beli pertalite tinggal daftar akun  aja ya gmn sieeeee nda paham hiks</t>
  </si>
  <si>
    <t>direktur utama  patra niaga inisiatif inovasi uji coba salur pertalite solar guna hak daftar sistem  juli</t>
  </si>
  <si>
    <t>hasil polling warganet tuju bijak beli pertalite amp solar wajib daftar  elshintanews</t>
  </si>
  <si>
    <t>contoh salah anggota dpr nikmat subsidi marah teriak jual nama rakyat  bagus biar tau orang orang kaya yg suka nikmat subsidi yg orang ga</t>
  </si>
  <si>
    <t>pt  persero aplikasi  syarat beli bahan bakar minyak bbm subsidi jenis pertalite solar</t>
  </si>
  <si>
    <t>bbm beli gas lpg kg pakai  jelas</t>
  </si>
  <si>
    <t>aplikasi  redam bahaya hp spbu ttd mr koplax</t>
  </si>
  <si>
    <t xml:space="preserve">sebar duit dana kaget nih gesit sikat popo instagram </t>
  </si>
  <si>
    <t xml:space="preserve">daftar linkaja sambung </t>
  </si>
  <si>
    <t>eh bule libur bal kalo isi pertalite install  ya</t>
  </si>
  <si>
    <t>daerah beli pertalite solar pakai  sepeda motor daftar aplikasi</t>
  </si>
  <si>
    <t>buzzerp ribut bantu negara install app  kasih bintang bagus biar bintang</t>
  </si>
  <si>
    <t>eh btw pke  beli pertalite pertamax gausa</t>
  </si>
  <si>
    <t>anggota komisi vi dpr ri fraksi nasdem kakak rudi hartono bangun bijak beli bbm jenis pertalite solar subsidi daftar website  sulit masyarakat smartphone nasdempeduli</t>
  </si>
  <si>
    <t>beli lpg kg wajib daftar  yaudah ganti kompor listrik gituajakokribet</t>
  </si>
  <si>
    <t xml:space="preserve">daftar website </t>
  </si>
  <si>
    <t>aplikasi  rasa bikin ribet via</t>
  </si>
  <si>
    <t>bijak keluar aplikasi  sulit awas distribusi minyak subsidi  gaji nai masyarakat aja ribet</t>
  </si>
  <si>
    <t xml:space="preserve">milik kendara motor roda daftar sistem  beli bahan bakar subsidi pertalite solar spbu </t>
  </si>
  <si>
    <t>beli pertalite amp solar wajib daftar aplikasi  yaudah pindah shell aja gituajakokribet</t>
  </si>
  <si>
    <t>apa ak rak paham nganggo  ribet asw ndadak instal link aja</t>
  </si>
  <si>
    <t>beli bbm subsidi  pimpin komisi vii solusi</t>
  </si>
  <si>
    <t>tutup few years later muncul apps perlu perlu im casually using gopay but now have to activating linkaja for the payment at  okay maybe it probs about bumn and not bumn but you know  point</t>
  </si>
  <si>
    <t>perintah beneran kerja nyusahin rakyat aja ibu ngerti pake app  make wa aja kadang gak paham</t>
  </si>
  <si>
    <t xml:space="preserve"> uji coba layan pertalite solar guna daftar website </t>
  </si>
  <si>
    <t>app  moga guna bbm subsidi awas</t>
  </si>
  <si>
    <t>juli pt  terap atur beli pertalite solar pakai  laku atur beli pertalite solar pakai  laku kendara motor</t>
  </si>
  <si>
    <t xml:space="preserve">app </t>
  </si>
  <si>
    <t>meuli bensin kudu make aplikasi  meuli sembako kudu make aplikasi pedulilindungi tutorialmempersulithidup</t>
  </si>
  <si>
    <t xml:space="preserve">subsidi sasar juli  buka daftar website </t>
  </si>
  <si>
    <t>pantau aplikasi  playstore terpongkeng rating netijen serah stuck ide oh mari netijen indonesia dukung mod apk  unlimited money gasak dah ga nanggung</t>
  </si>
  <si>
    <t>derita guna hape jadul amat  repot konsumen radarbanjarmasin</t>
  </si>
  <si>
    <t>gak ngerti atur langgar penting pikir selamat sejahtera  aturansakarepmu cuan spbu minyak bensin pertalite</t>
  </si>
  <si>
    <t>sy tuh daftar via  apk masukin data ktp emal nopol dll gimana coba nerima barcode</t>
  </si>
  <si>
    <t>kalo beli pertamini pake  ga ya</t>
  </si>
  <si>
    <t>mudah akses app   siap booth offline</t>
  </si>
  <si>
    <t>beli bahan bakar minyak bbm pakai aplikasi  salur bbm subsidi sas</t>
  </si>
  <si>
    <t>daftar beli bbm subsidi  breakingnews live streaming gt</t>
  </si>
  <si>
    <t>daftar  aplikasi smartphone</t>
  </si>
  <si>
    <t>akses aplikasi  qr code terima cetak bawa fisik spbu</t>
  </si>
  <si>
    <t>aplikasi  bombardir ulas bintang netizen susah rakyat</t>
  </si>
  <si>
    <t>udah jam ga notif  tp isi bensin pake  aplikasi sih aplikasi main anak gimana</t>
  </si>
  <si>
    <t>coba pas suruh pake  tethering wifi  serentak seru kali yaa</t>
  </si>
  <si>
    <t>jambu kristal non biji link tag  spbu jkt flyinghigh kcame rusia time for seventeen doa misi jokowi</t>
  </si>
  <si>
    <t>untung masyarakat mmbeli bbm aplikasi  praktis dgn</t>
  </si>
  <si>
    <t xml:space="preserve"> kuota bbm tetap jangka cukup butuh masyarakat</t>
  </si>
  <si>
    <t>amp syarat daftar  beli pertalite spbu</t>
  </si>
  <si>
    <t xml:space="preserve">kesiap banjarmasin laku uji coba guna </t>
  </si>
  <si>
    <t>jelas  uji coba untuk kendara roda kendara roda aja dasar jenis cc rakit</t>
  </si>
  <si>
    <t>bijak guna aplikasi  beli pertalite solar sasar</t>
  </si>
  <si>
    <t xml:space="preserve">tuju dukung layan digital </t>
  </si>
  <si>
    <t>pasti tugas awas bantu transaksi konsumen  jarak aman</t>
  </si>
  <si>
    <t>guna aplikasi  tuju awas jaga sedia bbm pertalite solar ras</t>
  </si>
  <si>
    <t>beli pertalite solar pakai  bayar linkaja</t>
  </si>
  <si>
    <t>tgl juli aplikasi  beli bbm subsidi</t>
  </si>
  <si>
    <t>kalo orang negara ngedownload  hadap perang dunia tiga invasi rusia</t>
  </si>
  <si>
    <t>aplikasi  resmi download install google play store app store</t>
  </si>
  <si>
    <t>masyarakat guna bbm subsidi daftar kendara website  publisherstory</t>
  </si>
  <si>
    <t>twitter ahhh yok buka trending pas liat hmmm popo iniinstagram  terlanjursayang copotmentridongok isi tetep available no basa basi crot wa bio hogeeyyy</t>
  </si>
  <si>
    <t>terap  gas kg laku usaha kuliner bandung tolak keras</t>
  </si>
  <si>
    <t xml:space="preserve">pikir aja yg ndak beres penuh benci yg larang panggil telepon isi bbm spbu sinyal calling ganggu sistem isi bbm buka aplikasi </t>
  </si>
  <si>
    <t>beli gas lpg kg  bbm subsidi pertalite solar</t>
  </si>
  <si>
    <t xml:space="preserve">konsekuensi sampeyan daftar </t>
  </si>
  <si>
    <t xml:space="preserve"> guna bbm subsidi dimonitoring evaluasi distribusi guna</t>
  </si>
  <si>
    <t>nice info kait  kak</t>
  </si>
  <si>
    <t>susu kambing etawa bubuk full cream original provit amp krimer bubuk solusi atas napas asma kolesterol link tag  spbu jkt flyinghigh kcame rusia time for seventeen doa misi jokowi</t>
  </si>
  <si>
    <t>buka hape lihat jam tegur suruh buka aplikasi  gimana</t>
  </si>
  <si>
    <t>masuk sma daftar  kah</t>
  </si>
  <si>
    <t xml:space="preserve">beli minyak goreng pakai peduli lindung beli bensin amp gas lpg kg pakai   beli krupuk pakai  kriuk </t>
  </si>
  <si>
    <t>kutuk klean hp ram mana dalam apps bawa  duli lindung</t>
  </si>
  <si>
    <t>kalo integrasi  dgn linkaja udh bener gw bgt pake</t>
  </si>
  <si>
    <t>wahh mantep nih usaha samping mas mba pom tetring buka app  hehehe</t>
  </si>
  <si>
    <t xml:space="preserve">tenang masyarakat beli pertalite solar aplikasi </t>
  </si>
  <si>
    <t xml:space="preserve"> harus bayar pke uang digital sistem saldo blm pakai hrs setor sampe limit</t>
  </si>
  <si>
    <t>aplikasi  aplikasi pln aplikasi pedulilindungi hp penuh dgn aplikasi butuh hari</t>
  </si>
  <si>
    <t>revisi aplikasi  utk beli pertalite spbu beli spbu jeblug</t>
  </si>
  <si>
    <t xml:space="preserve"> sedia jalur layan daftar online aplikasi  website langsung spbu</t>
  </si>
  <si>
    <t>pinter mainin isu  wkwk</t>
  </si>
  <si>
    <t xml:space="preserve"> alat alih isu yg neh semuabisakena</t>
  </si>
  <si>
    <t>pertalite solar perintah rencana batas beli lpg kg aplikasi  kalang tengah milik ponsel cnnindonesia detiknetwork</t>
  </si>
  <si>
    <t>emng tuju daftar  bayar kagak data kuota subsidi bbm tpi klo mo bayar   ya monggo</t>
  </si>
  <si>
    <t>guna aplikasi  jamin bbm subsidi sasar maksimal tujuh kerja konsumen penuh syarat nyata daftar terima kode qr surat</t>
  </si>
  <si>
    <t>memang pakai aplikasi  korupsi hilang gitu  untung</t>
  </si>
  <si>
    <t xml:space="preserve">km warga sumbar tolak beli pertalite pakai </t>
  </si>
  <si>
    <t>download aplikasi  beli pertalite bayar tunai ya linkaja</t>
  </si>
  <si>
    <t>pt  patra niaga buka daftar kendara identitas website  juli  bbm beritaterkini sumaid</t>
  </si>
  <si>
    <t>terap aplikasi  akses bbm subsidi awas ketat</t>
  </si>
  <si>
    <t>mgtnews dinas dagang industri disdagin kota bandung kendara motor pakai guna aplikasi  beli bbm jenis pertalite mgtplay mgtradio</t>
  </si>
  <si>
    <t>catat beli lpg kg wajib pakai aplikasi  baca lengkap mataindonesia gaslpg lpg kg  aplikasi</t>
  </si>
  <si>
    <t>hrus donlot  dlu isi htimu</t>
  </si>
  <si>
    <t xml:space="preserve">jual pertalite bebas kuota bahan bakar minyak alias bbm ron batas lengkap kpj  </t>
  </si>
  <si>
    <t>men download aplikasi  download pasu untung pasti orang negara</t>
  </si>
  <si>
    <t xml:space="preserve"> tuju data mining kali ya</t>
  </si>
  <si>
    <t xml:space="preserve">aplikasi  salah daftar aja lwt website langsung spbu bayar cash gitu sih dengar radio tp yg diblow up yg via apk </t>
  </si>
  <si>
    <t xml:space="preserve"> buka daftar kendara identitas website  juli</t>
  </si>
  <si>
    <t>ahok nanya nih tolong ya beli bahan bakar jenis pertalite spbu aplikasi  spbu tdk main hp beli bahan bakar tolong</t>
  </si>
  <si>
    <t xml:space="preserve">bayar beli bbm pertalite solar qr codenya tanda daftar situs </t>
  </si>
  <si>
    <t>viral daftar  aplikasi mudah  bbm subsidi news trending viral</t>
  </si>
  <si>
    <t>guna  beli pertalite ylki nilai bentuk naik harga bbm</t>
  </si>
  <si>
    <t>bubuk minum kg serbuk minum bubuk minum aneka bubuk minum kini link tag  spbu jkt flyinghigh kcame rusia time for seventeen doa misi jokowi</t>
  </si>
  <si>
    <t>salur bbm subsidi jenis pertalite sistem  laku juli tanggap bijak terap lengkap kode name kda</t>
  </si>
  <si>
    <t xml:space="preserve">masyarakat kawatir kalo masuk akses aplikasi </t>
  </si>
  <si>
    <t xml:space="preserve">juli  wajib beli bbm subsidi aplikasi </t>
  </si>
  <si>
    <t>gempar cap susah  review jelek google play netizen dukung jokowi ikut reviewnya kecewa</t>
  </si>
  <si>
    <t>motor gak daftar  wajib kendara roda simak jelas artikel prmn news</t>
  </si>
  <si>
    <t>temu guna aplikasi  aplikasi rating rendah google play store prmn news</t>
  </si>
  <si>
    <t>transaksi aplikasi  hp aman spbu jarak minimal meter dispenser bbm</t>
  </si>
  <si>
    <t>takut aplikasi  beli pertalite solar subsidi spbu aman</t>
  </si>
  <si>
    <t xml:space="preserve">utas ketriger bbrp twit yg gambar mobil bakar isi bbm kalo error apps hrs complain  utk baik besok appsnya dipake orang yg install </t>
  </si>
  <si>
    <t>yg masalah rencana guna aplikasi  utk beli pertalite solar subsidi ma</t>
  </si>
  <si>
    <t>beli gas lpg kilogram pakai  laksana</t>
  </si>
  <si>
    <t>beli lpg kilogram pakai  daftar</t>
  </si>
  <si>
    <t>kalo ribet ngapain pake simple isi bensin pertalite solar pake aplikasi  aja udah aneh kalo ngurangin guna pertalite bilang aja si wkwk halus banget</t>
  </si>
  <si>
    <t>suruh pakai  tugas males bawa duit</t>
  </si>
  <si>
    <t xml:space="preserve">keren nih solusi konsumen akses apps </t>
  </si>
  <si>
    <t>sopir angkut aku rencana laku aplikasi  beli bbm jenis pertalite solar subsidi   pertalite solar bumn cekdulumedcom</t>
  </si>
  <si>
    <t>sumpah kek skrg ribet bgt ga si cashless pake dana ovo gopay spay ngisi bensin pake  masuk mall pake pedulilindungi nntn tix id cinepolus dll hp gw penuh ama app kek ginian gbs down app yg bnr gw kbr org tua yg pake hp jadul</t>
  </si>
  <si>
    <t>daftar aplikasi   news berita   lpg lpg kg lpgmelon pertalite solar pandang pandanganjogja kumpar</t>
  </si>
  <si>
    <t xml:space="preserve">gk tarik install </t>
  </si>
  <si>
    <t>awas edar situs aplikasi ilegal  tipu</t>
  </si>
  <si>
    <t>isi bensin pertalite regis beli gas lpg kg daftar  negara maju aja beli gak pakai aplikasi indonesia aplikasi sih</t>
  </si>
  <si>
    <t>lpg laku uji coba diam diam duduk  direktur pasar regional pt  patra niaga</t>
  </si>
  <si>
    <t>monggo baca nih biar tunjuk qr code beli pertalite solar wajib pakai aplikasi pertamin</t>
  </si>
  <si>
    <t>spbuask gan tmpat download apk mod yg rekom dmna mo donlot  unlimited fuel wkeoakeoa</t>
  </si>
  <si>
    <t>subsidi sasar juli  buka daftar website  via berita</t>
  </si>
  <si>
    <t>maksud beli bbm pake  dr  nya jg bagus sebenernya biar bbm subsidi sasar sosialisasi jg sih booth offline jg tiap spbu</t>
  </si>
  <si>
    <t>masyarakat uang tunai wajib dompet digital relas aplikasi  beli bahan bakar minyak pertalite dompetdigital uangtunai lampungpostid</t>
  </si>
  <si>
    <t>fakta lapang gimana orang pake  spbu nya kaga support payment apa gitu kaga</t>
  </si>
  <si>
    <t>aj sy isi pertalite cibubur tugas ogah pake  merepotin aj</t>
  </si>
  <si>
    <t>beli pertalite aplikasi  timbul masalah masyarakat</t>
  </si>
  <si>
    <t>gr javaland javaland bubuk minum javaland gr link tag  spbu jkt flyinghigh kcame rusia time for seventeen doa misi jokowi</t>
  </si>
  <si>
    <t>samsat udh online tinggal match aja apps  utk sesuai data pajak mobil pajak mobil jt atas gaboleh pake pertalite fair pajak jt th udh buat mobil atas th ribet negri</t>
  </si>
  <si>
    <t xml:space="preserve"> beli pertalite smartphone bijak beli bahan bakar minyak bbm subsidi aplikasi digital kritisi amat energi lembaga konsumen rugi kelompok</t>
  </si>
  <si>
    <t>guna aplikasi  syarat beli pertalite mamit aku runding  patra niaga aplikasi  data konsumen bas website mengakomodir beli pertalite</t>
  </si>
  <si>
    <t xml:space="preserve">paksa uninstal ghensin impact instal </t>
  </si>
  <si>
    <t>untung yg oleh aplikasi  bayar yg efisien</t>
  </si>
  <si>
    <t>kemaren udah nyoba sen bright gas kg  agen sellernya ga tanggap jam jad</t>
  </si>
  <si>
    <t xml:space="preserve"> terap banten</t>
  </si>
  <si>
    <t>kemaren udah nyoba sen bright gas kg  agen sellernya ga tanggap jam cancel otomatis nyoba sen call center agen ga respon daerah rumah gas kosong bareng</t>
  </si>
  <si>
    <t xml:space="preserve">pt  persero  patra niaga wajib beli bahan bakar minyak bbm subsidi aplikasi </t>
  </si>
  <si>
    <t xml:space="preserve">beli lpg kg daftar berita nusabali  lpg </t>
  </si>
  <si>
    <t>titik koordinat allah seru banget ribut  hahahahaa</t>
  </si>
  <si>
    <t>oalah gitu to yowis kui apik nggo adewe lan konco melu ros og yo ngga paksa nganggo  cah cah ngono may berat diri diatasnamakan orang</t>
  </si>
  <si>
    <t>petisi gagal pakai apk  ya</t>
  </si>
  <si>
    <t>terap bijak beli bbm subsidi  revisi atur presiden nomor sedia distribusi harga jual ecer bahan bakar minyak</t>
  </si>
  <si>
    <t>tugas  beli dihimbau bukti akses  bukti qr code</t>
  </si>
  <si>
    <t>duh  bgt gak sih gue tuh anak wifi only</t>
  </si>
  <si>
    <t xml:space="preserve">bismillah moga pegawai  </t>
  </si>
  <si>
    <t>instagram bahas aplikasi  twitter bahas hws bhaikkkk</t>
  </si>
  <si>
    <t>orang yg ngasih ide  moga bantal guling kasur panas trs</t>
  </si>
  <si>
    <t xml:space="preserve">lpg sasar perintah laku uji coba diam diam pakai aplikasi </t>
  </si>
  <si>
    <t>beli pertalite solar wajib  sigit bijak bingung</t>
  </si>
  <si>
    <t>aplikasi  beli pertalite solar juli via</t>
  </si>
  <si>
    <t>monggo baca nih biar tunjuk qr code beli pertalite solar wajib pakai aplikasi  spbu</t>
  </si>
  <si>
    <t>inovasi aplikasi  identifikasi pengguba subsidi bbm sasar</t>
  </si>
  <si>
    <t xml:space="preserve">beli gas elpiji subsidi pakai </t>
  </si>
  <si>
    <t>spbu  nasib dijadiin iklan sarkas</t>
  </si>
  <si>
    <t xml:space="preserve">wajib instal aplikasi </t>
  </si>
  <si>
    <t>pasang cctv tugas tdk curang isi mobil mewah tdk hrs bikin repot masyarakat pake  amp mnt netizen yg lht curang utk video skrg udh zaman maju tgl sebar medsos tuh udh sy kasi ide amp solusi</t>
  </si>
  <si>
    <t>beli bbm pertalite solar spbu pakai  simak langkah langkah daftar</t>
  </si>
  <si>
    <t>perintah badan atur hilir minyak gas bumi bph migas dorong guna aplikasi  beli bbm jenis pertalite solar konon kabar batas</t>
  </si>
  <si>
    <t>masyarakat daftar aplikasi website  manajemen konfirmasi kendara daftar hak pertalite solar daftar infomoga  pertalite</t>
  </si>
  <si>
    <t>simple gak ribet pake  ya solusi ngisi pertamax aja</t>
  </si>
  <si>
    <t>ada yg sdh pakai aplikasi  baca orang yg sdh pasang aplikasi tsb yg aplikasi tsb hubung dgn aplikasi link aja utk bayar transaksi transaksi potong rp sungguh repot</t>
  </si>
  <si>
    <t>aplikasi  palsu contoh link abal abalnya   populer beritaterkini beritajakarta</t>
  </si>
  <si>
    <t>bbm beli gas melon aplikasi  netizen atur tolol</t>
  </si>
  <si>
    <t xml:space="preserve">paksa uninstall spotify biar ruang peduli lindung </t>
  </si>
  <si>
    <t xml:space="preserve">hayooo donk kakak ramai kasih bintang playstore </t>
  </si>
  <si>
    <t xml:space="preserve">ylki anggap chaos potensi gesek konsumen tugas spbu terap beli pertalite solar aplikasi </t>
  </si>
  <si>
    <t>permisi isi hobi aplikasi  ya mandatory fieldnya</t>
  </si>
  <si>
    <t xml:space="preserve"> kan alas uji coba  wilayah besok</t>
  </si>
  <si>
    <t xml:space="preserve">atur susah rakyat pakai aplikasi  rakyat sulit ruang gerak ayo lawan pakai aplikasi </t>
  </si>
  <si>
    <t xml:space="preserve">hayooo donk om ramai kasih bintang playstore </t>
  </si>
  <si>
    <t xml:space="preserve">tinggal nunggu bang brando namatin </t>
  </si>
  <si>
    <t xml:space="preserve"> butut</t>
  </si>
  <si>
    <t xml:space="preserve">hayooo donk om ramai kasih bintang si playstore </t>
  </si>
  <si>
    <t>otomatis sistem kunci alokasi bbm subsidi kendara daftar aplikasi  lebih kuota konsumsi</t>
  </si>
  <si>
    <t xml:space="preserve">kriteria terima bbm subsidi identifikasi pelat nomor kendara pelat nomor kendara mesti daftar aplikasi </t>
  </si>
  <si>
    <t xml:space="preserve">hayooo donk om ramai seru kasih bintang playstore </t>
  </si>
  <si>
    <t>premium hapus beli pertalite nya ga ribet bayar cash transaksi uang cash lu mesti smartphone mesti ngerti pake  mesti saldo si alun linkaja lu beda kasus</t>
  </si>
  <si>
    <t>mabok ajig  tombol login na ga ngelempar event urg meuli bensin pake naon ngke</t>
  </si>
  <si>
    <t>beli bbm subsidi aplikasi  spbu</t>
  </si>
  <si>
    <t>rencana batas beli bahan bakar minyak bbm jenis pertalite solar aplikasi  tuai pro kontra masyarakat</t>
  </si>
  <si>
    <t>sih konsultan big data digitalisasi  outputnya guna aplikasi  ngontrol bbm subsidi</t>
  </si>
  <si>
    <t>kendara kriteria beli pertalite solar pakai  aplikasi</t>
  </si>
  <si>
    <t>thread juli beli pertalite solar daerah wajib pakai  aplikasi</t>
  </si>
  <si>
    <t xml:space="preserve"> upaya cegah kendara mewah konsumsi bbm subsidi guna aplikasi </t>
  </si>
  <si>
    <t xml:space="preserve">kota wajib beli bbm </t>
  </si>
  <si>
    <t xml:space="preserve"> pertamini sok modern ktp lu noh fotokopi</t>
  </si>
  <si>
    <t>tuju guna  meminimalisir salah sasar salur jenis bbm subsidi pertalite solar kaji laku kendara roda lebih dgn kapasitas mesin cc</t>
  </si>
  <si>
    <t>tanggal juli beli bbm jenis pertalite solar aplikasi  wargi yuk laku</t>
  </si>
  <si>
    <t xml:space="preserve"> patra niaga sub holding commercial amp trading pt  persero uji coba layan jual pertalite solar guna daftar website  buka juli</t>
  </si>
  <si>
    <t xml:space="preserve">edisi bingung himbauan main hp saat spbu eh perarturan isi pertalite dg aplikasi </t>
  </si>
  <si>
    <t>beli bensin spbu pakai  bayar pakai linkaja metoda bayar yg populer phk karyawan linkaja umum jajar dewan direksi</t>
  </si>
  <si>
    <t>bijak beli bensin pakai aplikasi  tuai komentar warga warga mengritik bijak sulit</t>
  </si>
  <si>
    <t>lepas ribetnya beli bbm pake apps narasi pakai apps  rem apps  shell udah dipake spbu utk ngumpulin poin ga tuh</t>
  </si>
  <si>
    <t>mah kalo beli bbm  hp scan qr code pegang tugas spbu subsidi mah tibalik konsumen bawa qr code tugas scan</t>
  </si>
  <si>
    <t>direktur utama  patra niaga alas aplikasi  jadi syarat beli pertalite solar salur jenis bbm subsidi sasar</t>
  </si>
  <si>
    <t>pt  jadi aplikasi  syarat beli bbm subsidi pertalite solar</t>
  </si>
  <si>
    <t>larang main hp spbu transaksi pake app  gimana gimana</t>
  </si>
  <si>
    <t xml:space="preserve"> mending rekrut ketimbang gajelas bikin app  yg ratingnya</t>
  </si>
  <si>
    <t>kalo  muncul qr code kotak biru subsidi tepar daftar besok</t>
  </si>
  <si>
    <t>udh apk  kgk lg daftar website gin gan</t>
  </si>
  <si>
    <t>copotmenteridongok masuk mall gnakan pedulilindungi scan cek suhu tjd antri klo dah antri tugas gak terllu perhatiin scan gmn beli bbm  scan isi bayar lbh antri gmn dgn tugas mending cek kendara by mata hehe</t>
  </si>
  <si>
    <t>beli minyak goreng pakai peduli lindung beli pertalite pakai  yg gak hape gimana gak beli serius mudah susah</t>
  </si>
  <si>
    <t>guna solar subsidi daftar aplikasi  atur dasar atur presiden nomor sedia distribusi harga jual ecer bahan bakar minyak</t>
  </si>
  <si>
    <t>wilayah terap uji coba beli bbm pakai aplikasi  juli</t>
  </si>
  <si>
    <t xml:space="preserve">juli beli bahan bakar minyak bbm subsidi wajib pakai aplikasi </t>
  </si>
  <si>
    <t>cegah obat dg dispenser spbu bayar pakai  panggil masuk hp laku cegah bawah</t>
  </si>
  <si>
    <t xml:space="preserve">beritasonora daftar kriteria mobil terima subsidi bbm mesti daftar </t>
  </si>
  <si>
    <t>daftar    emang servernya nampung banyak massa aga trust issue kemaren pas uji seleksi kamjar servernya penuh bgt loading kadang putus</t>
  </si>
  <si>
    <t>salah drew lha tgl daftar aja beli pertalite pakai  qr varu mobil ga bakaaln antri</t>
  </si>
  <si>
    <t>minggu ga isi bensin relate  duh fomo</t>
  </si>
  <si>
    <t>serba aplikasi gada yg dwnload app  kh smpe hrs diwajibkn gin</t>
  </si>
  <si>
    <t xml:space="preserve">sisi masyarakat khawatir milik aplikasi  daftar laman </t>
  </si>
  <si>
    <t>beli bbm subsidi pakai  juli</t>
  </si>
  <si>
    <t>kalong cheater ngga rencana bikin cheat aplikasi  biar saldo rp kah cheat biar bensin full tank ayo lhoo time to shine tenan lo iki lur sempat</t>
  </si>
  <si>
    <t xml:space="preserve">pandu beli bensin aplikasi </t>
  </si>
  <si>
    <t>contoh vaksin minyakgoreng  yg pilot tumpang</t>
  </si>
  <si>
    <t xml:space="preserve">direktur utama  patra niaga juli inisiatif uji coba salur subsidi pertalite solar guna nama daftar sistem </t>
  </si>
  <si>
    <t xml:space="preserve">beritasonora juli masyarakat beli bahan bakar minyak bbm jenis pertalite solar wajib aplikasi </t>
  </si>
  <si>
    <t>taufikurachman bayar bbm subsidi transaksi bayar tunai kartu kredit debit batas  harap masyarakat awas bbm subsidi</t>
  </si>
  <si>
    <t xml:space="preserve"> wajib konsumen pakai aplikasi  beli pertalite solar</t>
  </si>
  <si>
    <t>kota bandung salah daerah wajib beli bbm subsidi pakai aplikasi  imbas bijak warga bandung isi bensin cimahi via</t>
  </si>
  <si>
    <t>uji coba provinsi sumatra barat kalimantan selatan sulawesi utara jawa barat daerah istimewa yogyakarta salur subsidi bbm jenis solar pertalite aplikasi  juli</t>
  </si>
  <si>
    <t xml:space="preserve">area manager communication relation amp csr sumbagut pt  patra niaga taufikurachman daftar konsumen solar pertalite nasional riau september sumber infopku pekanbaru bbmsubsidi </t>
  </si>
  <si>
    <t>raih hadiah impi ikut  tebar hadiah</t>
  </si>
  <si>
    <t xml:space="preserve">ributin aplikasi  banyak kontra karbitan coba deh liat dr sisi no offense </t>
  </si>
  <si>
    <t>terap beli pertamax pakai aplikasi  cocok nopol konsep kupon bbm srilanka bangkrut digital</t>
  </si>
  <si>
    <t>juli masyarakat akun daftar laman  beli bbm subsidi</t>
  </si>
  <si>
    <t>penting guna daftar website  data cocok konsumen transaksi spbu transaksi catat digital</t>
  </si>
  <si>
    <t>trus skrg isi bensin gua mesti akun  gt ya</t>
  </si>
  <si>
    <t>instal   link aja isi saldo  bayar make  maaf mas kita</t>
  </si>
  <si>
    <t>beritasonora alas wilayah wajib daftar  beli pertalite via</t>
  </si>
  <si>
    <t>beli pertalite wajib pakai  simak daftar berkas daftar</t>
  </si>
  <si>
    <t>masyarakat daftar aplikasi website  manajemen konfirmasi kendara daftar hak pertalite solar</t>
  </si>
  <si>
    <t xml:space="preserve">bang memori hp udah penuh gambar ga install </t>
  </si>
  <si>
    <t>guna aplikasi  tuju awas jaga sedia bbm pertalite solar rasa adil masyarakat hindar upaya timbun</t>
  </si>
  <si>
    <t>diam download aplikasi  ga protes udah nurut aja ya rumah kau gusur nurut ya disclaimer syarat tentu laku kalo wan abud kadrun protes</t>
  </si>
  <si>
    <t>beli pertalite solar wajib daftar aplikasi  juli dapat pollingelshinta</t>
  </si>
  <si>
    <t>alas wilayah wajib daftar  beli pertalite</t>
  </si>
  <si>
    <t>tuju bgt si model cashless kek  ewkwk tp orang pd ga suka sampe nyuruh mahasiswa demo gen millenial angkat muda suka model tech gin huhu question mark anak muda yg pd nolak karna ribet</t>
  </si>
  <si>
    <t xml:space="preserve">beli milik opsi tunjuk qr code wajib aplikasi </t>
  </si>
  <si>
    <t>aplikasi  serbaguna beli gas lpg kg wajib daftar</t>
  </si>
  <si>
    <t xml:space="preserve">juli  buka daftar beli bbm subsidi website </t>
  </si>
  <si>
    <t>wajib pakai aplikasi  tunjuk qr code</t>
  </si>
  <si>
    <t>daftar kendara identitas beli situs  buka juli</t>
  </si>
  <si>
    <t xml:space="preserve">cek fakta salah beli bbm pakai aplikasi </t>
  </si>
  <si>
    <t>cek fakta salah beli bbm pakai aplikasi  via</t>
  </si>
  <si>
    <t>gak larang kendara plat hitam minum pertalite ya motor gak dibebasin aja isi pertalite pakai aplikasi  linkaja</t>
  </si>
  <si>
    <t xml:space="preserve">antisipasi laman  error </t>
  </si>
  <si>
    <t>informasi transaksi aplikasi  handphone aman spbu jarak minimal dispenser bbm bantu tugas spbu</t>
  </si>
  <si>
    <t xml:space="preserve">  tolong pikir</t>
  </si>
  <si>
    <t>untung pake  tinggal bayar langsung aja enak</t>
  </si>
  <si>
    <t>sakit ujicoba beli pertalite pake  abis pertalitenya</t>
  </si>
  <si>
    <t>sistem  bantu cocok data guna hak daftar aplikasi</t>
  </si>
  <si>
    <t>pek sosialisasi beli pertalite  muncul wacana transaksi gas lpg kg aplikasi dapat bijak merahputihcom lpg gas kg  berita indonesia indonesiabanget newsmerahputih</t>
  </si>
  <si>
    <t xml:space="preserve">khawatir bayar sistem cash cashless sesuai metode bayar sedia spbu bayar aplikasi </t>
  </si>
  <si>
    <t>yg mw donate bs lgsg klik link  akh yh</t>
  </si>
  <si>
    <t xml:space="preserve"> transaksi aplikasi  handphone hp aman spbu jarak minimal meter dispenser bbm</t>
  </si>
  <si>
    <t xml:space="preserve">layang pandang alam aplikasi </t>
  </si>
  <si>
    <t xml:space="preserve"> patra niaga uji coba salur pertalite solar  guna daftar</t>
  </si>
  <si>
    <t>era serba digital transaksi bayar pt  patra niaga buka daftar kendara identitas website  juli dapat qr code yg beli bbm subsidi</t>
  </si>
  <si>
    <t>navigasi informasi kota beli bbm subsidi pakai aplikasi  yuk baca</t>
  </si>
  <si>
    <t>tau ulun kalsel yg wajib pakai  banjarmasin ja daerah banjarmasin aman sih</t>
  </si>
  <si>
    <t>perintah aplikasi terap bijak baru usaha negara  aplikasi  beli bbm subsidi tuai polemik lapang wrapup podcastindonesia</t>
  </si>
  <si>
    <t xml:space="preserve">main hp spbu larang bayar bbm pake aplikasi </t>
  </si>
  <si>
    <t>lpg kg kena ama  tolakaplikasi tolakaplikasi</t>
  </si>
  <si>
    <t xml:space="preserve">wakil guna pertamax besok </t>
  </si>
  <si>
    <t>warga khawatir sulit beli pertalite pakai   siap langkah</t>
  </si>
  <si>
    <t>pengaruh guna  jual bensin ecer</t>
  </si>
  <si>
    <t>ngomongin  semalem gw mimpi aneh bgt tugas  resign hari gr langgan ramee bgt tp gw nya lot kerja gasuka pressure real life lg capek workload wkwk</t>
  </si>
  <si>
    <t>beli pertalite  bawa hp gin</t>
  </si>
  <si>
    <t>daftar  beli bbm solar pertalite juli besok laku wilayah simak lengkap</t>
  </si>
  <si>
    <t xml:space="preserve">prosedur daftar guna bbm subsidi  via infosumbar  bbm subsidi </t>
  </si>
  <si>
    <t>pimpin komisi vii dpr aplikasi  solusi bbm</t>
  </si>
  <si>
    <t>lu yg pake  uda bahan uji coba ledak gk ledak mobil motor lu ketik ketik tdk selamat bahan uji coba</t>
  </si>
  <si>
    <t xml:space="preserve"> patra niaga uji coba salur pertalite solar  guna daftar juli daerah inovasi salur bbm subsidi sasar lengkap</t>
  </si>
  <si>
    <t>catat beli pertalite solar wajib aplikasi  syarat</t>
  </si>
  <si>
    <t>jabat pjs corporate secretary pt  patra niaga irto ginting uji coba kebijkaan beli pertalite pakai  ngak laku utk kendara motor uji coba hnya terap khusus kendara roda</t>
  </si>
  <si>
    <t>jabat pjs corporate secretary pt  patra niaga irto ginting uji coba kbjakan beli pertalite pakai  nga laku kendara motor uji coba hny terap khusus kendara roda</t>
  </si>
  <si>
    <t>jabat pjs corporate secretary pt  patra niaga irto ginting uji coba kbijakan beli pertalite pakai  kgk laku kendara motor uji coba terap khusus kendara roda</t>
  </si>
  <si>
    <t>rekomendasi rok murah kualitas mewah silah jamin suka  indra bekti rep</t>
  </si>
  <si>
    <t>coba download  amp linkaja payment nya definisi nyusahin</t>
  </si>
  <si>
    <t>pakai  kota yogyakarta whole diy ya</t>
  </si>
  <si>
    <t xml:space="preserve">juli  buka daftar website </t>
  </si>
  <si>
    <t>perintah buka peluang legal ganja medis juli beli pertalite daftar  harga anjlok tandan buah segar kaltim biar busuk lengkap buletinpagi podcastindonesia</t>
  </si>
  <si>
    <t xml:space="preserve">gak sabar ngasih rating bintang </t>
  </si>
  <si>
    <t xml:space="preserve">tuku gas melon pake </t>
  </si>
  <si>
    <t>sofar ui dll  engga bapuk sih gatau ntar kalo udah user nya lets see</t>
  </si>
  <si>
    <t>rame kampanye aman hp spbu bijak apps  larang tiada selamat konsumen uji coba mobil motor konsumen gk asuransi jaga ledak pas isi pertalite hahahaha</t>
  </si>
  <si>
    <t xml:space="preserve"> cuman topup link aja tau   gatau buat gatau collab telkomsel linkaja buat telkomsel</t>
  </si>
  <si>
    <t>rakyat miskin trus hp bilang gak rakyat miskin beli suruh pake aplikasi  gimna sih konsep nya</t>
  </si>
  <si>
    <t xml:space="preserve">ning pertamini wae rasah nganggo </t>
  </si>
  <si>
    <t>perintah wajib masyarakat aplikasi  beli bbm subsidi juli</t>
  </si>
  <si>
    <t>sih pakai aplikasi  simak bareng bareng yukk</t>
  </si>
  <si>
    <t>aplikasi  beli pertalite solar laku daftar link</t>
  </si>
  <si>
    <t xml:space="preserve">aceh masuk daftar lokasi beli bbm pakai aplikasi masakininews </t>
  </si>
  <si>
    <t>akses dngan aplikasi  qr code yg terima jg print out amp bawa fisik spbu ktika mlakukan isi pertalite amp solar</t>
  </si>
  <si>
    <t>nggak solusi beli gas kg pertalite pakai  beli migor curah pakai pedulilindungi</t>
  </si>
  <si>
    <t>jabat pjs corporate secretary pt  patra niaga irto ginting uji coba kbjakan beli pertalite pakai  laku utk kendara motor uji coba hnya terap khusus kendara roda</t>
  </si>
  <si>
    <t>aplikasi beli bbm  rat masyarakat</t>
  </si>
  <si>
    <t>he em instal  udah fitur anti nuklir anti ledak</t>
  </si>
  <si>
    <t>bintang  andal beli bensin lpg hancur bintang jelek bintang</t>
  </si>
  <si>
    <t>jabat pjs corporate secretary pt  patra niaga irto ginting uji coba bijak beli pertalite pakai  laku kendara motor uji coba terap khusus kendara roda</t>
  </si>
  <si>
    <t>akses dg aplikasi  qr code terima jga print out bawa fisik spbu melakukn isi pertalite solar</t>
  </si>
  <si>
    <t xml:space="preserve"> anggap susah guna beli bbm subsidi</t>
  </si>
  <si>
    <t xml:space="preserve">beli elpiji kg </t>
  </si>
  <si>
    <t>akses dngn aplikasi  qr code yg terima jugah print out dn bawa fisik spbu ktika mlkukn isi pertalite dn solar</t>
  </si>
  <si>
    <t xml:space="preserve">spek mobil rekomendasi tel bbm beroktan rendah sasar bbm subsidi </t>
  </si>
  <si>
    <t>konsumen pertalite biosolar wajib daftar aplikasi  bph migas kendara cc daftar cc daftar alias beli pertalite biosolar</t>
  </si>
  <si>
    <t xml:space="preserve">warga jogja daerah indonesia wajib simak beli bbm pakai  pertalite solar baca lengkap portalyogoya </t>
  </si>
  <si>
    <t xml:space="preserve">pertalite beli lpg kilogram wajib pakai </t>
  </si>
  <si>
    <t>daftar  kriteria kendara solar subsidi via</t>
  </si>
  <si>
    <t>jabat pjs corporate secretary pt  patra niaga irto ginting uji coba kebijkaan beli pertalite pakai  ngk laku uttk kendara motor uji coba hannya terap khusus kendara roda</t>
  </si>
  <si>
    <t>urus negara gak urus negara orang negara butuh perhati kuasa minyak goreng pake peduli lindung beli pertalite pake aplikasi  sejahtera copotmenteridongok</t>
  </si>
  <si>
    <t xml:space="preserve">otw kulak bensin </t>
  </si>
  <si>
    <t>jabat pjs corporate secretary pt  patra niaga irto ginting uji coba kbjakan beli pertalite pakai  nggk laku ntuk kendara motor uji coba hnya terap khusus kendara roda</t>
  </si>
  <si>
    <t>kendara motor pakai aplikasi  beli pertalite bandung breakingnews</t>
  </si>
  <si>
    <t>sibuk dng  app migor curah dll</t>
  </si>
  <si>
    <t>sebenernya tuju guna  jaring terima subsidi laksana sesuai perhati terima subsidi mampu gadget mumpuni</t>
  </si>
  <si>
    <t xml:space="preserve">motor cc mobil cc larang isi pertalite pakai </t>
  </si>
  <si>
    <t>perintah wajib masyarakat aplikasi  beli bbm subsidi juli nasib milik smartphone himbauan larang pakai handphone area spbu ya metrohariini pertalite</t>
  </si>
  <si>
    <t>paksa beli hp yg support  mod</t>
  </si>
  <si>
    <t>daftar pilih merk motor apps  yg yg protes ga adil roda</t>
  </si>
  <si>
    <t xml:space="preserve">kendara roda aja yg wajib install </t>
  </si>
  <si>
    <t>hati data guna  sebentar dah aja</t>
  </si>
  <si>
    <t>akses dgn aplikasi  qr code terima jga bsa print out bawa fisik spbu melakukn isi pertalite solar</t>
  </si>
  <si>
    <t>tpi apk gojek ga wajib donlot smntra  wajib donlot klo mo beli pertalite</t>
  </si>
  <si>
    <t>akses dg aplikasi  qr code yg terima jg bs print out amp bawa fisik spbu ktika mlakukan isi pertalite amp solar</t>
  </si>
  <si>
    <t>akses aplikasi  qr code terima print out bawa fisik spbu isi pertalite solar</t>
  </si>
  <si>
    <t>so ayo jadi pertamax turbo bahan bakar andal akselerasi mesin sayang selalujadiandalan perfectioninperformance  call</t>
  </si>
  <si>
    <t xml:space="preserve"> laku sepeda motor uji coba besok juli</t>
  </si>
  <si>
    <t>kota bandung salah daerah wajib beli bbm subsidi pakai aplikasi  imbas bijak warga bandung isi bensin cimahi</t>
  </si>
  <si>
    <t>nggak pertamax turbo lengkap  technology ignition boost formula jaga mesin karat mesin tahan selalujadiandalan perfectioninperformance  call</t>
  </si>
  <si>
    <t>jgn salah info tanggal juli daftar aja gk aplikasi   arah daftar verifikasi qrcode utk transaksi tnp aplikasi</t>
  </si>
  <si>
    <t>bikin kartu  aja yg sistem kaya gesek kartu saldo uang sus beli bensin aja aplikasi  pantang bawa hp pom bensin</t>
  </si>
  <si>
    <t>tanggal juli daftar aja gk aplikasi   arah daftar verifikasi qrcode utk transaksi tnp aplikasi scan tugas</t>
  </si>
  <si>
    <t>lesat cepat pertamax turbo rasa sensasi akselerasi performa mesin hebat ron pertamax turbo selalujadiandalan perfectioninperformance  call</t>
  </si>
  <si>
    <t>akses dng aplikasi  qr code terima bsa print out bawa fisik spbu isi pertalite solar</t>
  </si>
  <si>
    <t>urgensi kl beli pake aplikasi  ribetnya wasalam</t>
  </si>
  <si>
    <t>utk tau nih tanggal juli daftar aja gk aplikasi   arah daftar verifikasi qrcode utk transaksi tnp aplikasi</t>
  </si>
  <si>
    <t>isi bbm pakai aplikasi  kabar rfid</t>
  </si>
  <si>
    <t xml:space="preserve">bsatuan akses </t>
  </si>
  <si>
    <t xml:space="preserve">smart marketing </t>
  </si>
  <si>
    <t>klutik  beli pertalite smartphone</t>
  </si>
  <si>
    <t>beli pertalite pake aplikasi  aplikasi hp pom bensin aktif hp tolol ya dongoooooo tolol</t>
  </si>
  <si>
    <t xml:space="preserve">beli gas lpg kg wajib daftar web </t>
  </si>
  <si>
    <t>akses dgan aplikasi  qr code yg terima jugah bs print out dn bawa fisik spbu ktika mlkukn isi pertalite dn solar</t>
  </si>
  <si>
    <t>info valid gaes tanggal juli daftar aja gk aplikasi   arah daftar verifikasi qrcode utk transaksi tnp aplikasi</t>
  </si>
  <si>
    <t>aplikasi   jadi subsidi bbm sasar</t>
  </si>
  <si>
    <t>tanggal juli daftar aja gk aplikasi   arah daftar verifikasi qrcode utk transaksi tnp aplikasi</t>
  </si>
  <si>
    <t>daftar  beli pertalite solar juli</t>
  </si>
  <si>
    <t>bapak ngedumel rumah gegara anjirr srius susah org yg gk pake andro ios bapak yg biasa pake hp nokia jadul laptop pc trs andro nya srg tinggal rumah kdg abis batre aja kaga tau mlh suruh dw  jdi ngomel mlu bapak</t>
  </si>
  <si>
    <t>buzzer perintah yg bela russia gk sadar ya suka support perang gilir harga pusing gpp sih proyek sprti bajerin apps  ya kampanye aman pake hp spbu</t>
  </si>
  <si>
    <t>kalo beli pertalite gas kg pake apk  ibukku yg ngerti pake hp tulalit ibuk</t>
  </si>
  <si>
    <t>akses aplikasi  qr code terima bs print out bawa fisik spbu isi pertalite solar</t>
  </si>
  <si>
    <t>rencana beli bahan bakar minyak bbm subsidi  tuai tolak masyarakat nilai guna aplikasi sulit langgan yld buletininewspagi   bbm solar pertalite</t>
  </si>
  <si>
    <t>guna aplikasi  dar itung an bisnis jual beli aplikasi yg hak</t>
  </si>
  <si>
    <t xml:space="preserve">apk </t>
  </si>
  <si>
    <t>woalah tur mobil udu pertalite sih wkwkwk nek bien meh install  jarene ono undi gek nek tuku bengsin mobil kerep luwih hahahahaah</t>
  </si>
  <si>
    <t xml:space="preserve">kayak pake </t>
  </si>
  <si>
    <t>emang tolol bat orang orang tua kerja yg cepet praktis bikin ribet mulu kolot tolol lu makan tu  bangsat</t>
  </si>
  <si>
    <t xml:space="preserve">kalo beli warung warung </t>
  </si>
  <si>
    <t>nopol daftar mngkin yg  kalo daftar nopol pinjem motor orang kn beda sma stnk pinjeman mngkin yg dmksd sprti</t>
  </si>
  <si>
    <t>ntar beli cilok pake  maju bgt</t>
  </si>
  <si>
    <t xml:space="preserve">perintah rencana wajib masyarakat beli lpg kilogram aplikasi </t>
  </si>
  <si>
    <t xml:space="preserve"> ok sih konsep ga kendara kasih barcode biar scan spbu biar tau kendara udah daftar keluarin hp isi bensin kecuali bayar pake wallet</t>
  </si>
  <si>
    <t>spbu kota jogja uji coba aplikasi  via</t>
  </si>
  <si>
    <t xml:space="preserve">bgimana </t>
  </si>
  <si>
    <t>antipasi website  error  panjang daftar</t>
  </si>
  <si>
    <t xml:space="preserve">ngising nguyuh spbu pake </t>
  </si>
  <si>
    <t>era mah ngebayangin aja gimana beli pertalite solar pakai aplikasi  laran</t>
  </si>
  <si>
    <t>beli bbm pakai aplikasi  salur bbm subsidi sasar</t>
  </si>
  <si>
    <t>juli beli pertalite solar wajib aplikasi  okezoners aman gak sih</t>
  </si>
  <si>
    <t>masyarakat panik khawatir terap atur beli bbm jenis pertalite solar harus masyarakat registrasi website  jokowi cekdulumedcom</t>
  </si>
  <si>
    <t>kendara motor daftar  beli pertalite</t>
  </si>
  <si>
    <t>karni ilyas club jubir menteri bumn informasi aplikasi  masyarakat karniilyas  bumn</t>
  </si>
  <si>
    <t>kemarin nonton tv arya daftar aplikasi daftar website  daftar manual spbu dapet stiker tempel kendara tanda kalo orang tsb hak subsidi pertalite tetep ribet sih hehe</t>
  </si>
  <si>
    <t>pertalite solar wacana beli lpg kg pakai  susah aja</t>
  </si>
  <si>
    <t>anda hp diinstall  pedulilindungi</t>
  </si>
  <si>
    <t>syarat warga yg jatah subsidi hp android ios kuota install app  pedulilindungi</t>
  </si>
  <si>
    <t>cari informasi yg valid jgn bikin argumen kait  ya bagusbgt spbu booth offline bantu yg bingung jg ya tdk  dftr klo udh verifikasi dpt qrcode utk transaksi aplikasi</t>
  </si>
  <si>
    <t xml:space="preserve">pertalite solar beli lpg kg wajib daftar  pontianak pertalite solar bbm bensin lpg  </t>
  </si>
  <si>
    <t xml:space="preserve">kemal palevi tanggap bijak  wajib masyarakat beli bensin pertalite solar aplikasi  </t>
  </si>
  <si>
    <t xml:space="preserve"> data masyarakat aman registrasi website beli bahan bakar minyak bbm jenis pertalite solar   pertalite solar jokowi cekdulumedcom</t>
  </si>
  <si>
    <t>hola masyarakat indonesia maju sejahtera riweuh riweuh sm aplikasi  mending cek fakta ya le</t>
  </si>
  <si>
    <t>akses aplikasi  beli bbm subsidi akses internet rata</t>
  </si>
  <si>
    <t>ayo netizen tingkatin literasi ya inovasi aplikasi  tuju subsidi bbm masyara</t>
  </si>
  <si>
    <t>nyobain ah beli bbm pake  seribet yg bayang kalo iya mending pindah haluan shell vivo mobil</t>
  </si>
  <si>
    <t>info batas konsumsi pertalite solar subsidi kendara roda applikasi   subsidi app  roda batas</t>
  </si>
  <si>
    <t xml:space="preserve">tunggu aja pipis pom bensin pake app </t>
  </si>
  <si>
    <t>salah fungsi aplikasi  berantas orang kaya jalan pakai mobil mewah pas masuk pom bensin dadak miskin</t>
  </si>
  <si>
    <t>spbu kota yogyakarta laku pakai aplikasi  beli bbm rencana laku juli   pertalite solar cekdulumedcom</t>
  </si>
  <si>
    <t>gw bingung negeri wakanda masuk mall peduli lindung kapal paka ferizi beli pertalite pakai  linkaja negara mo jual aplikasi</t>
  </si>
  <si>
    <t>bilang perintah pro cilik taik kau guna aplikasi  utk beli bbm subsidi bukti cilik masyarakat hp yg kompetibel utk otak pakek jgn pake dengkul</t>
  </si>
  <si>
    <t>aplikasi  resmi download install google play store app store aplikasi resmi ya salah ya sob  call subsiditepat</t>
  </si>
  <si>
    <t>sob tahu nih edar aplikasi resmi   call subsiditepat</t>
  </si>
  <si>
    <t>beli pertalite solar ketat wajib konsumen daftar  ponsel</t>
  </si>
  <si>
    <t>masyarakat akun aplikasi  transaksi beli pertalite solar spbu jalan lancar simak langkah langkah</t>
  </si>
  <si>
    <t>negara tau aktivitas warga pergi mana kudu scan peduli lindung isi bensin mana kudu pake  isi gas</t>
  </si>
  <si>
    <t>yakali gitu ya beli bengsin  gratis ongkir indonesia kirim langsung rumah</t>
  </si>
  <si>
    <t>beli bbm subsidi pakai aplikasi  perintah susah rakyat</t>
  </si>
  <si>
    <t>coba install aplikasi  bingung beli integrasi isi saldo sesuai yg bayar paksa pakai linkaja data subsidi sasar pikir org ngerti ribet dah</t>
  </si>
  <si>
    <t xml:space="preserve">weh pertalite beli lpg kg daftar </t>
  </si>
  <si>
    <t>ya pakai utk bayar pertalite spbu aplikasi  sedia fitur moodbooster online unggul dengar judgemental</t>
  </si>
  <si>
    <t>perintah  rencana uji coba beli bbm subsidi pertalite solar konsumen daftar sistem  dokumen siap lengkap tahap daftar</t>
  </si>
  <si>
    <t>isi pertalite daftar  organda jabar sosialisasi langsung laku</t>
  </si>
  <si>
    <t>beli bbm pakai aplikasi  nama aplikasi bawa untung cashbac</t>
  </si>
  <si>
    <t>aplikasi  byk untung</t>
  </si>
  <si>
    <t>beli migor pake pedulilindungi beli bensin pake  emang juara sih klo nyusahin warga</t>
  </si>
  <si>
    <t xml:space="preserve">kecoh beli pertalite solar gak download aplikasi </t>
  </si>
  <si>
    <t>catat daftar  aplikasi beli bbm subsidi pertalite solar</t>
  </si>
  <si>
    <t>gak ribet daftar  aplikasi beli pertalite juli</t>
  </si>
  <si>
    <t>udah buzzerp  yah</t>
  </si>
  <si>
    <t>kalo saran utk tarik minat masyarakat guna aplikasi  perintah fitur moodboster online apps</t>
  </si>
  <si>
    <t>bilang beli bbm subsidi pakai aplikasi  gak cek benar</t>
  </si>
  <si>
    <t>spbu bayar pakai  daftar kota kabupaten masuk uji coba</t>
  </si>
  <si>
    <t xml:space="preserve">jawab negara api serang jend wakandastan land genting </t>
  </si>
  <si>
    <t>untung pakai  salah satu diskon lho syarat</t>
  </si>
  <si>
    <t>mudah gratis daftar  beli bbm subsidi lengkap link download aplikasi</t>
  </si>
  <si>
    <t xml:space="preserve">beli bbm subsidi jenis pertalite solar atur sasar masyarakat beli pertalite solar daftar aplikasi </t>
  </si>
  <si>
    <t>kalas microsoft office aja dikadalin aplikasi  wkwkwk</t>
  </si>
  <si>
    <t>dpr program beli bensin pakai  butuh awas</t>
  </si>
  <si>
    <t xml:space="preserve">juli isi bensin kota wajib pakai aplikasi  </t>
  </si>
  <si>
    <t>halo kakak admin tny donk klo beli pake  nominal minimal balian gak sih</t>
  </si>
  <si>
    <t xml:space="preserve">pertalite solar bahan bakar jenis daftar </t>
  </si>
  <si>
    <t xml:space="preserve">gimana download apk </t>
  </si>
  <si>
    <t>ajaa bayar spp sekolah daftar appk  kntl</t>
  </si>
  <si>
    <t>lawan  aja tp pedulilindungi</t>
  </si>
  <si>
    <t>pt  patra niaga buka daftar kendara identitas website  juli daftar guna qr code beli bbm subsidi spbu  lengkap</t>
  </si>
  <si>
    <t xml:space="preserve">hoaks malam solo uji coba beli pertalite solar pakai </t>
  </si>
  <si>
    <t>beli transaksi informasi  salah inovasi  jaring masyarakat hak terima subsidi bahan bakar minyak</t>
  </si>
  <si>
    <t xml:space="preserve">corporate secretary pt  patra niaga irto ginting prinsip tanggal juli pasuk daftar website  subsiditepat </t>
  </si>
  <si>
    <t xml:space="preserve"> wajib masyarakat aplikasi  syarat beli bbm subsidi pertalite solar wiliayah indonesia terap juli</t>
  </si>
  <si>
    <t xml:space="preserve">jelek bgt ni </t>
  </si>
  <si>
    <t>aplikasi  hadir bentuk apresiasi langgan setia produk  untung mengunak</t>
  </si>
  <si>
    <t xml:space="preserve">motor daftar  website tutur brasto galih nugroho area manager jawa pt  patra niaga yuk simak video voksupdate voksradiojogja </t>
  </si>
  <si>
    <t>beli pertalite solar wajib aplikasi  beli bbm masyarakat memb</t>
  </si>
  <si>
    <t xml:space="preserve">emang iya ngisi bensin </t>
  </si>
  <si>
    <t>corporate secretary  patra niaga irto ginting masyarakat wajib milik aplikasi  daftar terima bbm subsidi  bbm beritaterkini lampungpost</t>
  </si>
  <si>
    <t>kunci verifikasi data terima subsidi  sesuai tuju</t>
  </si>
  <si>
    <t xml:space="preserve"> saking ga laku atur gimana</t>
  </si>
  <si>
    <t>orang yg bikin aplikasi  ga bayang tuh pas pintu surga suruh scan ditanyain udah download aplikasi pedulilindungi internetnya lot auto neraka</t>
  </si>
  <si>
    <t xml:space="preserve">wow byk untung pake aplikasi </t>
  </si>
  <si>
    <t>aplikasi blokir sinetron faedah tv blokir aplikasi  tuh gimana buka aplikasi nya pom bensin aja engga main hp</t>
  </si>
  <si>
    <t>pedulilindungi  linkedin</t>
  </si>
  <si>
    <t>laku pom aplikasi  kalo ga  beli</t>
  </si>
  <si>
    <t xml:space="preserve">bsk kl mo beli goreng jg daftar </t>
  </si>
  <si>
    <t>mohon maap admin ya sy daftar aplikasi  daftar</t>
  </si>
  <si>
    <t>fakta  utk terap baru  tuju gaes subsidi sasar identifikasi  sesuai dgn regulasi laku daftar bs dr ga wajib  yg tdk hp juli daftar dl ya</t>
  </si>
  <si>
    <t>beneran skrg klo isi bensin hrs pake aplikasi  ngga lepas nyetir orang tua</t>
  </si>
  <si>
    <t xml:space="preserve">beli aja make </t>
  </si>
  <si>
    <t>si sebenernya biar tertib nggak ribet iyaa bayar pakek  scan qr pom</t>
  </si>
  <si>
    <t xml:space="preserve">masyarakat wajib daftar  beli bbm untung aplikasi </t>
  </si>
  <si>
    <t xml:space="preserve">serah lu deh </t>
  </si>
  <si>
    <t>juli masyarakat akun daftar laman  beli bbm subsidi smartphone</t>
  </si>
  <si>
    <t>aplikasi  keren byk untung nya</t>
  </si>
  <si>
    <t>masyarakat wajib daftar  beli bbm untung aplikasi  diant</t>
  </si>
  <si>
    <t xml:space="preserve">keren aplikasi </t>
  </si>
  <si>
    <t>ngeinstal  niat gae tuku bengsin tuku merchandise moto gp</t>
  </si>
  <si>
    <t>jogja salah uji coba guna aplikasi  beli pertalite daftar aplikasi  caradapatpertalite</t>
  </si>
  <si>
    <t>beli pertalite  siap dokumen</t>
  </si>
  <si>
    <t>eh kalo daftar  isi bensin motor mobil orang kah</t>
  </si>
  <si>
    <t>salah lebih  yg hitung bulan pakai bbm</t>
  </si>
  <si>
    <t>juli beli bbm pertalite solar milik qr code daftar  menyesu</t>
  </si>
  <si>
    <t>proses uji coba implementasi salur bbm subsidi  laku kendara roda</t>
  </si>
  <si>
    <t>pendapate instal  gawe tuku gas kg</t>
  </si>
  <si>
    <t xml:space="preserve"> beli bbm subsidi pertalite solar kelak beli liquefied petroleum gas lpg subsidi portalyogya </t>
  </si>
  <si>
    <t xml:space="preserve">untung aplikasi </t>
  </si>
  <si>
    <t xml:space="preserve">main hp larang spbu bahaya selamat orang perintah laku atur beli pertalite pakai aplikasi   </t>
  </si>
  <si>
    <t xml:space="preserve">blum instal </t>
  </si>
  <si>
    <t>pakai cheat  kalong</t>
  </si>
  <si>
    <t>suka kesel krna ribet banget papa mau pake  benernya moga subsidi bbm gas minyak sasar kurang mafia timbun</t>
  </si>
  <si>
    <t>aplikasi  byk bgt manfaat</t>
  </si>
  <si>
    <t>orang miskin ponsel pintar beli lpg kg pakai  analisis</t>
  </si>
  <si>
    <t xml:space="preserve">kendara beli pertalite solar pakai  jelas lengkap simak habis yah </t>
  </si>
  <si>
    <t>sling bag tas selempang wanita rb utk muat barang amp nyaman pakai utk hari tokopedia tokopedia tas fashion pagi impi dingin  morningg</t>
  </si>
  <si>
    <t xml:space="preserve">pertalite beli gas lpg kilogram wajib daftar </t>
  </si>
  <si>
    <t>aja reng pake app spbu pegawai isi bensin aja alas error ga dinding promosi  error ga appnya pegawai sihhh</t>
  </si>
  <si>
    <t xml:space="preserve">inimagelangku alas beli pertalite solar daftar </t>
  </si>
  <si>
    <t xml:space="preserve">alas beli pertalite solar daftar </t>
  </si>
  <si>
    <t>cinta daftar  ga</t>
  </si>
  <si>
    <t>gerai daftar spbu masyarakat hp aplikasi  via</t>
  </si>
  <si>
    <t>install aplikasi  install shell asia poin gratis</t>
  </si>
  <si>
    <t>gaes gaes tau donk pasti untung aplikasi  perintah me</t>
  </si>
  <si>
    <t>download aplikasi  yuk</t>
  </si>
  <si>
    <t>now ok ima install  future damn bocor data</t>
  </si>
  <si>
    <t>kayak bayar developer nya  pakai download aplikasi nich</t>
  </si>
  <si>
    <t>iseng daftar app  sistem pembayaranya app linkaja ga sistem bayar cash yaah kayak aplikasi transportasi online gitu</t>
  </si>
  <si>
    <t>gih daftar scr langsung gerai  dekat bantu proses daftar hp operasi spbu orang daftar aplikasi  web gerai  kendara tem</t>
  </si>
  <si>
    <t>kemal palevi komentar bijak  beli pertalite aplikasi  kemalpalevi</t>
  </si>
  <si>
    <t>gas lpg kg jenis gas subsidi khusus masyarakat butuh gas salah target minimalisir salah target gas daftar  sih salah pakai kk ribet batas aja</t>
  </si>
  <si>
    <t xml:space="preserve">jelang laku </t>
  </si>
  <si>
    <t>akses apps   siap booth offline  energytoday energytodayid</t>
  </si>
  <si>
    <t xml:space="preserve">byk untung pakai aplikasi </t>
  </si>
  <si>
    <t>jalan uji coba salur bbm subsidi sasar aplikasi  kuota bbm subsidi potensi dar informasi daftar buka via website juli</t>
  </si>
  <si>
    <t>jd logika pake hp akses  bs jd sebab salah takar prediksi brp langgan yg gelut sm tugas spbu sdh prediksi jg antre akibat gelut td sebab ricuh spbu akibat antre</t>
  </si>
  <si>
    <t>ribut beli bbm pake app  bayar bbm pake app sih disaranin suami liat kalo isi bensin atm narik cash jaga jaga takut pas bayar ga terima bayar debit pake edc error yha kha</t>
  </si>
  <si>
    <t>aplikasi  kampanye selubung warga indonesia transportasi</t>
  </si>
  <si>
    <t>tenang aja masyarakat gak hp dukung aplikasi  masyarakat daftar website langsung cetak qr code transaksi bbm subsidi aplikasi</t>
  </si>
  <si>
    <t xml:space="preserve">wow dukung aplikasi </t>
  </si>
  <si>
    <t xml:space="preserve">bijak perintah kait beli minyak goreng bbm jenis pertalite aplikasi pedulilindungi </t>
  </si>
  <si>
    <t>anjiiir suruh pake  trs beli dpt point ga kalo udh kumpul point dpt free bensin gas lpg gak emosi ya byuemen</t>
  </si>
  <si>
    <t>beli bbm subsidi via  dukung regulasi salur bbm subsidi subsidi sasar lindung masyarakat hak</t>
  </si>
  <si>
    <t>bingung gua orang yg protes beli pertalite solar make aplikasi   udah subsidi puluh ribu guys pertalite solar suruh pake aplikasi  aja mencak</t>
  </si>
  <si>
    <t>lur ning spbu jare gak dolan hp iki tuku pertalite dikon gawe  yo</t>
  </si>
  <si>
    <t>aplikasi gov maksa user ya telkomsel buka review pedulilindungi checkin agreement  ya beli bensin</t>
  </si>
  <si>
    <t xml:space="preserve">dukung aplikasi </t>
  </si>
  <si>
    <t>daftar  ah syapa tau lowong kerja</t>
  </si>
  <si>
    <t xml:space="preserve">anjerrrr aja nafas pake </t>
  </si>
  <si>
    <t xml:space="preserve">masyarakat pakai aplikasi  beli bbm alas </t>
  </si>
  <si>
    <t>kaya indonesia onlime masyarakat tengah bawah beli minyak goreng aja mikir trus paksa beli hp daftar  biar beli bensin gas</t>
  </si>
  <si>
    <t>fakta beli pertalite via  niat  salur bbm subsidi sasar hak data tenang aja konsultasi ofline spbu keluh masyarakat</t>
  </si>
  <si>
    <t>psti muk install  mniez</t>
  </si>
  <si>
    <t xml:space="preserve"> pasti distribusi bbm lpg sasar jokowi </t>
  </si>
  <si>
    <t xml:space="preserve">untung aplikasi  jokowi </t>
  </si>
  <si>
    <t xml:space="preserve">proses impeachment presiden wakil presiden konstitusi indonesia lewat tahap dpr mk mpr jokowi </t>
  </si>
  <si>
    <t xml:space="preserve">presiden ajak negara investasi sektor energi bersih indonesia jokowi </t>
  </si>
  <si>
    <t>mall pake peduli lindung beli minyak goreng pakai ktp beli bensin lpg pakai  giiran buka big data nya ga buka buka</t>
  </si>
  <si>
    <t xml:space="preserve">pasal hina presiden wapres ruu kuhp masuk delik adu jokowi </t>
  </si>
  <si>
    <t xml:space="preserve">ruu kuhp serap aspirasi masyarakat indonesia jokowi </t>
  </si>
  <si>
    <t xml:space="preserve">kak ajarin pake </t>
  </si>
  <si>
    <t xml:space="preserve">rumah gue jual lpg kg blm pake </t>
  </si>
  <si>
    <t>milik  beli pertalite daftar via website</t>
  </si>
  <si>
    <t>apas  ni berisik banget daaah ngapain sih lu nyusahin</t>
  </si>
  <si>
    <t xml:space="preserve">bingung unistal peduli lindung donlot </t>
  </si>
  <si>
    <t>memang prosedur beli pertalite  sdh sosialisasi hrs bawa hp daftar aplikasi peg spbu yg cek no polisi knderaan</t>
  </si>
  <si>
    <t xml:space="preserve">masyarakat isi bbm manual pakai aplikasi </t>
  </si>
  <si>
    <t>catat kendara mobil wajib daftar  beli bbm subsidi</t>
  </si>
  <si>
    <t>beli pertalite solar daftar website  syarat</t>
  </si>
  <si>
    <t>banget emang terima kasih jokowi berkat gak gaptek salim  peduli lindung top</t>
  </si>
  <si>
    <t>pedulilindungi aja gabisa download  ya untung daftar website</t>
  </si>
  <si>
    <t xml:space="preserve">memori hpnya penuh ga download </t>
  </si>
  <si>
    <t>pake aplikasi  nggak bikin kartu aja sih kayak sistem toll ribet ya kalo</t>
  </si>
  <si>
    <t>berita juli  uji coba daftar aplikasi  website subsidi guna bbm subsidi rencana terap sistem tuai protes masyarakat liput sctv</t>
  </si>
  <si>
    <t>pajero aamiin isi pertalite pake  dgn data mobil avanza jenis gmn verifikasi data  dgn no mobil yg bawa tugas berani tolak</t>
  </si>
  <si>
    <t xml:space="preserve">gmn yh hrs pake </t>
  </si>
  <si>
    <t xml:space="preserve">review salah jalan dapat pertalite subsidi  </t>
  </si>
  <si>
    <t>beli lpg kg daftar  atur gila rakyat sllu yg sasar rezim penghisa</t>
  </si>
  <si>
    <t>daftar  data bocor mending isi pertamax aj dah</t>
  </si>
  <si>
    <t>info lengkap sila hubung  call center  energijatimbalinus energiuntukmaju patraniaga patraniagajatimbalinus energizingyourfuture  call subsiditepat</t>
  </si>
  <si>
    <t xml:space="preserve">tunggu tweet tahu selingkuh </t>
  </si>
  <si>
    <t>blunder gak sih daftar  atur pom bensin gak pake hp aneh</t>
  </si>
  <si>
    <t xml:space="preserve">konten tag popo instagram azzam lontong sipalingmarvel copotmenteridongok get well soon yuta pagi </t>
  </si>
  <si>
    <t>nyobain daftar aplikasi  udah ngikutin langkah nya dapet kode otp registrasi hasil log in ga</t>
  </si>
  <si>
    <t>laku besok jenis kendara wajib pakai aplikasi  beli bbm subsidi via</t>
  </si>
  <si>
    <t>aplikasi  tetiba nyeletuk bikin aplikasi proyek cuan aja mah kayak anak kota hati asa gue desa ada guna aplikasi dah sosialisasi koentji</t>
  </si>
  <si>
    <t>yg tuju protes dgn bijak guna aplikasi  utk beli pertalite amp solar guna aplikasi lindungipeduli utk beli migor amp lpg silah bintang sgr banned google smg efektif guna aplikasi sulit masyarakat</t>
  </si>
  <si>
    <t xml:space="preserve">instal </t>
  </si>
  <si>
    <t xml:space="preserve">gapake   aja udh ngantri gin deh dripada suruh buka  gmn klo bikin qr yg tempel motorr tar pegawai scan tu qr qr nya generate dri </t>
  </si>
  <si>
    <t xml:space="preserve">tanggal juli beli bbm jenis pertalite solar aplikasi  wargi yuk laku daftar aplikasi jabarjuara jabarjuaralahirbatin ridwankamil </t>
  </si>
  <si>
    <t>daftar  juli simak jelas daftar</t>
  </si>
  <si>
    <t>cobain aja deh bayar pake link aja  waktu kewat</t>
  </si>
  <si>
    <t xml:space="preserve">skip daftar </t>
  </si>
  <si>
    <t xml:space="preserve">pertalite beli gas lpg kg pakai aplikasi </t>
  </si>
  <si>
    <t xml:space="preserve"> pedulilindungi merger aja plis</t>
  </si>
  <si>
    <t>iya bener sdhlah gak pake hp pom bensin kalo rakyat indonesia yg hp monokrom biar hubung paksa aplikasi  sejahtera rakyat ngomong aplikasi</t>
  </si>
  <si>
    <t>beli pertalite mesti pake  buka hp gak main hp spbu ah gimane si</t>
  </si>
  <si>
    <t>btw ngomongin  telp anak yg tau install app joss bgt ni jhabwskbwwhhahahaw sc ecommurz</t>
  </si>
  <si>
    <t>konsep nolak orang kismin gak hape kuota ngedowngrade aplikasi  logika simpel kaum bodoh</t>
  </si>
  <si>
    <t xml:space="preserve">emg iya ya skrg kalo mw beli bensin suruh nunjukin app </t>
  </si>
  <si>
    <t>beli pertalite daftar  juli</t>
  </si>
  <si>
    <t>install  beli pertamax</t>
  </si>
  <si>
    <t>rating  ngene</t>
  </si>
  <si>
    <t>oiya bingung tambah informasi lengkap langsung cek website hubung  call center  call subsiditepat</t>
  </si>
  <si>
    <t>mimin coba jelasin ya yuk simak jawab gambar  call subsiditepat</t>
  </si>
  <si>
    <t>bentar ketik status yg jual qr  dm japri butuh cepat</t>
  </si>
  <si>
    <t>akses  spbu klaim aman bahaya angkat telepon</t>
  </si>
  <si>
    <t>sob mimin dapet nih solar subsidi pertalite roda kolom komentar dm  call subsiditepat</t>
  </si>
  <si>
    <t>transaksi bayar bbm aplikasi  ponsel aman buka hp spbu</t>
  </si>
  <si>
    <t>hpnya dukung aplikasi  gimana tenang aja masyarakat daapt cetak qr code transaksi beli bbm subsidi aja bijak</t>
  </si>
  <si>
    <t>aplikasi  gerai daftar spbu masyarakat</t>
  </si>
  <si>
    <t>beli pertalite wajib daftar website  juli bingung daftar baca ya nissan lovers nissannews</t>
  </si>
  <si>
    <t>juli  buka daftar website  subsidi sasar</t>
  </si>
  <si>
    <t>juli  buka daftar beli bbm subsidi pertalite solar via aplikasi  daftar ya terap</t>
  </si>
  <si>
    <t xml:space="preserve">wkwkwkwk kudu instal </t>
  </si>
  <si>
    <t xml:space="preserve"> tuh unikorn pedulilindungi ya</t>
  </si>
  <si>
    <t>dasar sumber tugas pom mbensin semak beli pertalite dgn syarat aplikasi  laku kendara roda</t>
  </si>
  <si>
    <t>bangsat lu lu gak tau maksud  biar beli pertalite pakai aplikasi jgn jeplak  suruh pakai  beli pertalite bbm subsidi biar gak mafia yg main jatah</t>
  </si>
  <si>
    <t>pagi pagi orang tua udah ngomongin  aja nih</t>
  </si>
  <si>
    <t xml:space="preserve">wouw keren  dgn aplikasi </t>
  </si>
  <si>
    <t xml:space="preserve"> spbu beli pertalite solar</t>
  </si>
  <si>
    <t>ganti mafia rakyat rugi amp tindas  pindah uang rakyat mafia ecer timbun amp distributor mafia migas kolaborator amp korporasi</t>
  </si>
  <si>
    <t>mantap donk  pakai yokk gaess</t>
  </si>
  <si>
    <t>corporate secretary pt  patra niaga irto ginting beli bbm subsidi utk kendara roda motor msh kendara tdk daftar amp kendara dlm situs  gambar bawah terap provinsi</t>
  </si>
  <si>
    <t>asikk nih pakai  gaes</t>
  </si>
  <si>
    <t>aplikasi musti  linkaja musti saldo kasihan yg gak atm mbanking repo</t>
  </si>
  <si>
    <t>lansir akun instagram resmi  juni beli bbm subsidi daftar  untuk kendara roda lantas kendara roda</t>
  </si>
  <si>
    <t>pas lgi buka situs  ngikutin tutorial aplikasi nya spbu spbu nya ledak kr langgan pad</t>
  </si>
  <si>
    <t xml:space="preserve">yok pakai </t>
  </si>
  <si>
    <t xml:space="preserve">beli solar pertalite pakai aplikasi </t>
  </si>
  <si>
    <t>bocor slot slotgacor paramaticplay habanero pgsoft ma pecintaslot bocoranslot rtpslot rtpalotonline day semuabisakena ukraina  azzam pertalite link gacor</t>
  </si>
  <si>
    <t>prediksi togel prediksisydney prediksisiangapore prediksihongkong bocorantogel bandardarat day semuabisakena ukraina  azzam pertalite link gacor</t>
  </si>
  <si>
    <t>untung dapat aplikasi  pasti oleh point hadiah loh</t>
  </si>
  <si>
    <t>daftar  aplikasi beli bahan bakar minyak bbm pertalite solar subsidi bahas artikel zonabanten prmn news</t>
  </si>
  <si>
    <t>bom tau pake aplikasi  gmn isi bensin pom bensin ga aktif hp ya</t>
  </si>
  <si>
    <t>andre rosiade usul warga hp daftar  spbu</t>
  </si>
  <si>
    <t xml:space="preserve">ngisi bengsin full ceekkk sakdurunge kudu nganggo </t>
  </si>
  <si>
    <t>klo beli pake aplikasi baik  nyiapin kurir brg biar ngga kalah sm shop papaloren</t>
  </si>
  <si>
    <t>apani rame  privilege tinggal jabodetabek kalo motor mending beli antri ngisi vivo shell</t>
  </si>
  <si>
    <t>syukur beli pertalite solar wajib  syarat</t>
  </si>
  <si>
    <t>ruu kuhp mapping data duduk via aplikasi  pedulilindungi gw curiga</t>
  </si>
  <si>
    <t xml:space="preserve">beli gas elpiji kg pakai aplikasi  laku lengkap klik taut jakarta elpiji elpiji </t>
  </si>
  <si>
    <t>wta yg pakai aplikasi  spbu gimana zonauang</t>
  </si>
  <si>
    <t>uji coba beli bbm subsidi via  susah rakyat</t>
  </si>
  <si>
    <t>akses  spbu klaim aman bahaya panggil telepon bandarlampung sumatra</t>
  </si>
  <si>
    <t xml:space="preserve">pertalite solar beli gas melon pakai aplikasi </t>
  </si>
  <si>
    <t>daftar  aplikasi</t>
  </si>
  <si>
    <t xml:space="preserve"> gua ngelag dah wkwkwkw</t>
  </si>
  <si>
    <t xml:space="preserve"> isi rb ya</t>
  </si>
  <si>
    <t xml:space="preserve">aja download </t>
  </si>
  <si>
    <t xml:space="preserve">beneran mreka mo ras rakyat dgn modus aplikasi </t>
  </si>
  <si>
    <t>fess  emg daftar ga apknya aja ato webnya jg ato gimana si bingung udh baca berita jg</t>
  </si>
  <si>
    <t>beritasonora daerah wajib pakai  beli pertalite solar juli</t>
  </si>
  <si>
    <t xml:space="preserve">   dun gu aplikasi  hajar mencret netizen rating anjlok</t>
  </si>
  <si>
    <t>aplikasi  sarana tarik uang rakyat supercepat hal saldo depisit etoll</t>
  </si>
  <si>
    <t>uji coba beli pertalite pakai  tanggal juli tempofoto</t>
  </si>
  <si>
    <t>aplikasi  diinstall juta guna aman utk data mengg aplikasi tsb sy sih curiga takut beli hrs aplikasi banking simpul sy uang negara sdg bahaya butuh uang cash</t>
  </si>
  <si>
    <t>berita kalo isi bensin nunjukin barcode qr aplikasi  tugas isi pom tanda larang main hp tempel tugas isi bbm</t>
  </si>
  <si>
    <t xml:space="preserve">dasar sih sih yg daftar orang yg butuh nya orang yg kaya bandel yg ngisi bbm yg subsidi aja yg data aplikasi </t>
  </si>
  <si>
    <t>cerita aplikasi  gak dipake</t>
  </si>
  <si>
    <t>nyoba  pom bensin beda daerah beda provinsi nemu beres</t>
  </si>
  <si>
    <t xml:space="preserve"> nilai sulit konsumen jelas </t>
  </si>
  <si>
    <t>aplikasi  butuh hp kuota sinyal skill aplikasi mata yg awas gak cacat resiko lam</t>
  </si>
  <si>
    <t>jogja salah daerah uji coba guna aplikasi  beli bbm juli pertalite</t>
  </si>
  <si>
    <t>daftar aplikasi  beli pertalite kabartrenggalek trenggalek baca</t>
  </si>
  <si>
    <t>rame nih beli pertalite via  uji coba  laku provinsi sumbar kalsel sulsel jabar diy</t>
  </si>
  <si>
    <t>toilet pakai  ga ya</t>
  </si>
  <si>
    <t>alas simak  atur beli bbm subsidi  tuju banget sihh bbm subsidi nikmat orang hak</t>
  </si>
  <si>
    <t xml:space="preserve"> ketat beli bbm pakai  cek daftar new brand it  dream</t>
  </si>
  <si>
    <t>beli bbm subsidi   harap lindung masyarakat nikmat bbm subsidi</t>
  </si>
  <si>
    <t>fakta beli  langkah bagus ambil  salur bbm subsidi sasar</t>
  </si>
  <si>
    <t>aplikasi musti  linkaja musti saldo kasihan yg gak atm mbanking repot</t>
  </si>
  <si>
    <t>guna pertamax peduli dg  hehe</t>
  </si>
  <si>
    <t>daftar via website  acu lindung masyarakat hak nikmat bbm subsidi daftar buka via website juli</t>
  </si>
  <si>
    <t>indonesia negara aplikasi  bikin  transaksi lpg bensin solar pedulilindungi pesawat kereta beli minyak goreng kang goreng suruh bikin aplikasi ourgorengan langgan premium</t>
  </si>
  <si>
    <t xml:space="preserve"> jalan ujicoba salur bbm subsidi sasar aplikasi  dasar regulasi atur presiden no amp surat putus bph migas no</t>
  </si>
  <si>
    <t>beli pertalite solar pakai aplikasi  oiya lupa beli migor pakai aplikasi pedulilindungi pertalite solar bbm  infografis infographic tangerang</t>
  </si>
  <si>
    <t>ga aplikasi  gmna ya konsumen aplikasi  daftar website daftar verifikasi cetak qr code dapat transaksi aplikasi</t>
  </si>
  <si>
    <t>uji coba beli bbm subsidi  tahap titik kabupaten kota</t>
  </si>
  <si>
    <t>besok daftar  subsidi bbm baca lengkap</t>
  </si>
  <si>
    <t>install apk  gratis pingin bayar install apk paytren</t>
  </si>
  <si>
    <t>tuju bangett nihh utk dukung salur bbm subsidi yg hak  terap aplikasi  sbg syarat beli pertalite solar</t>
  </si>
  <si>
    <t>balik rakyat yg paksa beli pertamax non subsidi pake acara aplikasi  sbg syarat subsidi tutup orang kaya investor bayar pajak nya rendah</t>
  </si>
  <si>
    <t>wahh canggih nihhh sbg komitmen  salur bbm subsidi sasar lalu   uji coba layan beli pertalite solar guna daftar</t>
  </si>
  <si>
    <t xml:space="preserve">beli pertalite solar atur masyarakat hak beli bbm subsidi mesti daftar  juli sumber infopku bbmsubsidi </t>
  </si>
  <si>
    <t>pakai  duit fisik gak laku bayar via linkaja distribusi bbm spbu klo lpg beli spbg konsumen lpg beli toko toko dal ruwet presiden damai rusia ukraina citra boros anggar</t>
  </si>
  <si>
    <t>tunjuk qr code beli pertalite solar wajib pakai aplikasi  spbu</t>
  </si>
  <si>
    <t xml:space="preserve">sopir angkot kota sukabumi beli pertalite wajib pakai </t>
  </si>
  <si>
    <t xml:space="preserve"> spbu mleduq bijimana beli pertalite syarat tentu laku cetak kartu aplikasi</t>
  </si>
  <si>
    <t>juli daerah sumbar wajib pakai  beli bbm subsidi via infosumbar  bbm subsidi</t>
  </si>
  <si>
    <t xml:space="preserve">udah jaman kendara elektrik ributin </t>
  </si>
  <si>
    <t>beritajabar juli beli pertalite solar daerah wajib pakai  belisolarpakaiapilkasi belipertalitepakaiaplikasi apilasi</t>
  </si>
  <si>
    <t>tuju bgt isi pertalite daftar  utk hindar penyalahgunaan</t>
  </si>
  <si>
    <t>beli pertalite pake  beli migor pake peduli lindung potensi diskriminatif tuh bijak lengkap serba serbi mmc migor curah peduli lindung</t>
  </si>
  <si>
    <t>layar hadir  inisiasi bbm subsidi sasar dukung</t>
  </si>
  <si>
    <t>nya susah rencana beli pertalite amp gas kg via  hasil tida</t>
  </si>
  <si>
    <t>masyarakat wajib daftar  beli bbm untung aplikasi  bayar efesien cashless non tunai poin beli bbm poin tukar reward</t>
  </si>
  <si>
    <t xml:space="preserve"> is mistake big mistake gue stres kakek nenek tinggal bedua doang ama gue trus tir tir bingung ngisi bensin kendara gimana kalo butuh gue ga rumah udah diajarin susah emang orang sepuh udah gaptek</t>
  </si>
  <si>
    <t>fakta knp beli bbm hrs pakai  daftar buka tgl juli daftar ya batas jd tlg cerdas baca informasi</t>
  </si>
  <si>
    <t xml:space="preserve">netizen kecam atur beli gas melon pakai aplikasi  anak usaha pt  persero pt  patra niaga umum rencana guna aplikasi  news gasmelon gasmelon kg gasmelon </t>
  </si>
  <si>
    <t xml:space="preserve">kena tambah pakai kartu debit isi linkaja kena biaya ngga seru nih </t>
  </si>
  <si>
    <t xml:space="preserve">spbu sumbar bantu langgan aktivasi </t>
  </si>
  <si>
    <t xml:space="preserve">kalo pake pertamax kudu download </t>
  </si>
  <si>
    <t>gaes gaes tau donk pasti untung aplikasi  perintah memonitoring evaluasi distribusi guna bbm subsidi aplikasi  yok ahh pakai aplikasi  gaess jgn tinggal ya</t>
  </si>
  <si>
    <t xml:space="preserve"> pertama</t>
  </si>
  <si>
    <t>daftar website cetak print qr code nya btw kampanye jatuhin rating  play store kabar</t>
  </si>
  <si>
    <t>belu pertalite solar hrs daftar website  jalan amanah jawab hrsnya bangga donk upaya yg</t>
  </si>
  <si>
    <t xml:space="preserve"> dang guna  bbm subsidi sasar masyarakat yg hak nikmat bbm subsidi</t>
  </si>
  <si>
    <t>wajar si klo sosialisasi guna aplikasi  kendala konsumen gak gadget bgt konsumen yg gaptek siasat hrs bgmn tenang jgn cemas solusi check it out dukung yuk bbm subsidi sesuai tentu</t>
  </si>
  <si>
    <t>install  undi hadiah umroh tp ga dapet</t>
  </si>
  <si>
    <t>salah lebih  yg hitung bulan pakai bbm liter rupiah mudah anggar</t>
  </si>
  <si>
    <t>be wise niat tanggung salur bbm bersubdi sasar ide ya udah brilian aplikasi  data fakta simak yuk</t>
  </si>
  <si>
    <t xml:space="preserve"> tuh biar aplikasi laku</t>
  </si>
  <si>
    <t>tenang yg gaptek  sedia gerai daftar spbu masyarakat milik aplikasi  erti daftar website</t>
  </si>
  <si>
    <t xml:space="preserve">sopir angkot ribet berat beli pertalite solar pakai </t>
  </si>
  <si>
    <t>sihh tuju banget nihh kalo pake  uji coba yg  salur bbm subsidi sasar masyarakat yg hak terima</t>
  </si>
  <si>
    <t>reting burung ps tekedown psnya  gak download</t>
  </si>
  <si>
    <t>ngehapus apk ig twit biar down apk peduli lindung  dkk nya beli minyak goreng lpg pertalite pikir sihp kentang ram penuh</t>
  </si>
  <si>
    <t xml:space="preserve">bijak rezim sulit rakyat utk cari nafkah rejeki perintah hati teliti bijak keluar atur kendali konsumsi bbm subsidi aplikasi </t>
  </si>
  <si>
    <t>masuk  install masuk ulas</t>
  </si>
  <si>
    <t>woiii tau gak spbu letak daerah yg ga akses internet gmn akses apk  utk beli minyak beli minyak hrs kuota sengaja biar untung utk nutupin investasi rugi sblmnya copotmenteridongok</t>
  </si>
  <si>
    <t>celana wanita motif kotak harga rb utk pakai formal amp nonformal nyaman dipake pagi impi dingin  morningg</t>
  </si>
  <si>
    <t>blh insttal dl pack  nyh</t>
  </si>
  <si>
    <t>daftar  download aplikasi tempootomotif</t>
  </si>
  <si>
    <t>wahhh kerenn utk lindung masyarakat yg hak nikmat bbm subsidi kalo pke  langgan oleh earning point lohh</t>
  </si>
  <si>
    <t>poin beli bbm tukar jenis reward untung oleh aplikasi  bayar yg efisien amp non tunai</t>
  </si>
  <si>
    <t>gampang daftar akun  beli bbm subsidi pertalite solar</t>
  </si>
  <si>
    <t>izin ya mas wajib pakai aplikasi  ya daftar melal</t>
  </si>
  <si>
    <t>beli pertalite pakai aplikasi  taut linkaja transaksi gak langsung pakai linkaja pakai  kalo gak ribet emang indonesia sik</t>
  </si>
  <si>
    <t>jd besok hrs install  gitu anjirlahhhhhhh memori aja penuh nyusahin bgt</t>
  </si>
  <si>
    <t>aplikasi  hadir bentuk apresiasi langgan setia produk  untung mengunakan aplikasi  cashless dapat poin redeem point ga ribet reward tukar poin mantap pokok</t>
  </si>
  <si>
    <t>stnk nya mati pajak udah pake  ngk isi ya saudara bayar pajak</t>
  </si>
  <si>
    <t>salur jenis bbm subsidi sasar  terap aplikasi  sbg syarat beli pertalite solar utk simak jelas ya bestie</t>
  </si>
  <si>
    <t>tau kwalitas jabat  yuu ahh ramai ramai bintang aplikasi  hajar mencret netizen rating anjlok</t>
  </si>
  <si>
    <t>baca berita yg pake app  khusus roda tp gatau depan gmn</t>
  </si>
  <si>
    <t>beli bbm pakai aplikasi  nama aplikasi bawa untung cashback lalu aplikasi perintah memonitoring evaluasi distribusi guna bbm subsidi unduh aplikasi yuk keren euy</t>
  </si>
  <si>
    <t>pakai aplikasi  masak suruh orang bodoh</t>
  </si>
  <si>
    <t>sebenernya install pake  itu cuman pake jarang kepake tega sungkan bikin antre lambat gara bayar</t>
  </si>
  <si>
    <t>masyarakat imbau daftar aplikasi  beli bbm subsidi pertalite solar lantas beli aplikasi</t>
  </si>
  <si>
    <t xml:space="preserve">anjur download </t>
  </si>
  <si>
    <t xml:space="preserve"> sedia sistem bayar elektronik sistem integrasi linkaja efisien guna payment electronic payment bantu cegah keliru hitung bersih</t>
  </si>
  <si>
    <t>gw udah donlod  beli pertalite ya allah lancar rezeki hamba ya allah</t>
  </si>
  <si>
    <t>beli pertalite  catat ya</t>
  </si>
  <si>
    <t>besok kalo  hesoyam</t>
  </si>
  <si>
    <t xml:space="preserve">coba suruh install </t>
  </si>
  <si>
    <t>pt  persero rencana ketat beli bbm subsidi jenis pertalite solar kendara roda aplikasi  persero updatebali</t>
  </si>
  <si>
    <t>untung masyarakat mmbeli bbm aplikasi  praktis dgn hadir cashlesa tuk bayar hadir poin yg bs tukar dgn reward yg sedia</t>
  </si>
  <si>
    <t xml:space="preserve">spbu kota yogyakarta syarat beli bbm pakai </t>
  </si>
  <si>
    <t>milik usaha warung makan kota solo aku berat beli gas elpiji ukur kg gas melon aplikasi  repot emak emak kampung paham teknologi</t>
  </si>
  <si>
    <t xml:space="preserve">nyablon banner larang handphone area spbu kecuali akses </t>
  </si>
  <si>
    <t>pedulilindungi aja dipake aplikasi scan kasi klo dipaksain ratingnya  playstore</t>
  </si>
  <si>
    <t>untung yg oleh aplikasi  bayar yg efisien amp non tunai poin beli bbm dmna poin tsb dpt tukar dg reward</t>
  </si>
  <si>
    <t xml:space="preserve">untung aplikasi  guna point tukar rewards aplikasi </t>
  </si>
  <si>
    <t>pertalite solar beli elpiji kilo aplikasi  diam diam  uji coba</t>
  </si>
  <si>
    <t xml:space="preserve">simak kriteria kendara beli pertalite solar </t>
  </si>
  <si>
    <t>negeri aplikasi pake aplikasi beli bbm pake  beli minyak goreng rencana pake aplikasi beli online pake aplikasi ngutang pake aplikasi scan peduli lindung nggak papa jgn maksa bikin rakyat susah</t>
  </si>
  <si>
    <t xml:space="preserve">ni pmnya linkaja gamau inisiasi integrate gitu  biar ga download aplikasi </t>
  </si>
  <si>
    <t>konon pom bensin ngga hape sebab bakar paksa pake aplikasi  beli bbm piye jal</t>
  </si>
  <si>
    <t>takkira daftar  tok daftar linkaja asuuu</t>
  </si>
  <si>
    <t xml:space="preserve">hadap karni ilyas arya sinulingga klarifikasi beli pertalite wajib pakai  aryasinulingga karniilyas pertalite </t>
  </si>
  <si>
    <t xml:space="preserve">spbu riau layan beli bbm </t>
  </si>
  <si>
    <t>beli pertalite solar wajib aplikasi  beli bbm masyarakat bawa smartphone</t>
  </si>
  <si>
    <t>ramai  beli bbm memang rumus kriteria terima bbm subsidi cc kendara buat kendara harga sinkron dtks kemensos data duduk kemendagri jenis tipe kendara bapeda</t>
  </si>
  <si>
    <t xml:space="preserve">antri gegara pake aplikasi </t>
  </si>
  <si>
    <t xml:space="preserve">spbu sedia wifi gratis guna </t>
  </si>
  <si>
    <t xml:space="preserve">daftar kabupaten kota juli isi bbm solar subsidi pertalite wajib </t>
  </si>
  <si>
    <t xml:space="preserve">rating </t>
  </si>
  <si>
    <t>rukhp tutup holywings  nih</t>
  </si>
  <si>
    <t>laku atur beli pertalite solar pakai  laku kendara motor laku kendara roda mobil sarap</t>
  </si>
  <si>
    <t>main hp spbu larang bayar bbm suruh pakai apliasi  picu ledak nggak simak ulas</t>
  </si>
  <si>
    <t>beli bbm make apk  ituh apk nempelinnyah jidat ya cuman endonesa nyang apah serba bikin</t>
  </si>
  <si>
    <t>jual netflix murah garansi dm wa youtube premium spotify disney hotstar viu apple music go wetv grammarly hbo amazon prime video sewa zoom iqiyi scribd nordvpn max vidio mola tv wtp kemhan tni dingin jordi ma bouttier  spbu kcon</t>
  </si>
  <si>
    <t>jabat pjs corporate secretary pt  patra niaga irto ginting uji coba bijak beli pertalite pakai  laku kendara motor tempobisnis</t>
  </si>
  <si>
    <t>akun  gak verifikasi nomor hp kek evaluasi nih apknya orang make apknya wkkwkw</t>
  </si>
  <si>
    <t xml:space="preserve"> udah install dftar nomer pin pas mw login pin salah udh masukin nomer pin sesuai udh ulang ulang hasil aja</t>
  </si>
  <si>
    <t>min saran aja kalo udh pake  bayar pake linkaja scan qr code gausah verif otp masukin pin aja udh</t>
  </si>
  <si>
    <t>beli pertalite solar pakai  sopir angkot pakai android</t>
  </si>
  <si>
    <t>daftar  sek gawe ngopi</t>
  </si>
  <si>
    <t xml:space="preserve">beli bbm subsidi juli aplikasi </t>
  </si>
  <si>
    <t>ewallet partner  bayar report biar cabut</t>
  </si>
  <si>
    <t>saran kalo app  fitur cod bensin antar rumah masyarakat</t>
  </si>
  <si>
    <t>gass daftar  nih</t>
  </si>
  <si>
    <t>daftar  aplikasi wajib beli pertalite solar</t>
  </si>
  <si>
    <t>hubung akun linkaja aplikasi  bayar pertalite solar</t>
  </si>
  <si>
    <t>ntar klo wc spbu sblm masuk pake  jga</t>
  </si>
  <si>
    <t>daftar website  yaa bestiee</t>
  </si>
  <si>
    <t>yg muncul kepala aing umum bijak registrasi  muncul</t>
  </si>
  <si>
    <t>bantu regis orang aman data nya kalo penyalahgunaan data gimana kalo muncul fenomena joki regis  gimana</t>
  </si>
  <si>
    <t>kendara pribadi layak subsidi eh halang registrasi ga si beli pertalite amp solar  potensi lebar timpang sosial</t>
  </si>
  <si>
    <t>implementasi beli pertalite solar daftar  september</t>
  </si>
  <si>
    <t>beli pertalite solar mesti daftar akun  juli andre rosiade sorot warga ponsel</t>
  </si>
  <si>
    <t>ngisinya pake  gak tuh solar</t>
  </si>
  <si>
    <t>tenang pegendara motor wajib  beli pertalite</t>
  </si>
  <si>
    <t xml:space="preserve">malam lihat berita kemudi truck wawancara beli bbm solar aplikasi  nya bijak sdh biasa coba laku sdh biasa mudah </t>
  </si>
  <si>
    <t>beli pertalite solar pakai  besok warga jogja lokasi spbu uji coba baru kilas</t>
  </si>
  <si>
    <t xml:space="preserve">beli pertalite solar subsidi aplikasi simak </t>
  </si>
  <si>
    <t xml:space="preserve">tutorial </t>
  </si>
  <si>
    <t>guna mobil wajib daftar aplikasi  website beli pertalite</t>
  </si>
  <si>
    <t>dokumen siap daftar website  juli</t>
  </si>
  <si>
    <t>tua hp jadul sopir angkot susah susah  https</t>
  </si>
  <si>
    <t>wing pas ijek tuku pertamax gae  entuk diskon cuman koneksi internet kudu stabil</t>
  </si>
  <si>
    <t>pake  beli pertalite lpg masuk akal lha beli minyak goreng pake pedulilindungi</t>
  </si>
  <si>
    <t>klau bukn utk batas sosialisasi yg kpd rakyat dg terap digitalisasi  perlahan berpengarh trhdp kerja nnti liat lg kerja spbu utk mngisi bbm ganti dg aplikasi bas digital tsbt</t>
  </si>
  <si>
    <t>daftar via website  acu lindung masyarakat yg hak nikmat bbm subsidi</t>
  </si>
  <si>
    <t>klau distribusi gas lpg kg bbm subsidi dg aplikasi  hrs rakyat sosialisasi yg jls dg muncul era digitalisasi dampak nya mngurangi jlh tenaga kerja mngkin nnti tdk lg liat kerja yg mngisi bbm tangki kendara spbu</t>
  </si>
  <si>
    <t xml:space="preserve"> skema uji coba beli bahan bakar skema beli daftar  beli pertalite solar spbu</t>
  </si>
  <si>
    <t xml:space="preserve">turn back hoax salah beli bbm pakai aplikasi </t>
  </si>
  <si>
    <t xml:space="preserve">spbu nya siapin wifi yaaakkk tau lgi abis paket buka </t>
  </si>
  <si>
    <t>halo  opsi bayar tambahin dana gopay</t>
  </si>
  <si>
    <t>pombensin beji kalo diterapin  ga sampe moemax tuh antri motor</t>
  </si>
  <si>
    <t>aktor kemal pahlevi wakil suara konsumen bbm beli pertalaite solar pakai aplikasi  spbu ledak gimana</t>
  </si>
  <si>
    <t xml:space="preserve"> mewjibkan app  utk tentu tdknya beli pertalite tindak ilegal tdk dasar hukum perintah blm atur kriteria guna pertalite pres yg mjd dasar  atur solar domain  patut tolak</t>
  </si>
  <si>
    <t xml:space="preserve">kalo ghosting orang gampang hapus wa ya memory ku nggak install aplikasi </t>
  </si>
  <si>
    <t>bijak saham  linkaja provider internet indonesia bearish langsung rebound bijak cabut loh provider internet scan aplikasi pakai kuota internet bambang</t>
  </si>
  <si>
    <t>hp pintar daftar  ribet daftar online</t>
  </si>
  <si>
    <t xml:space="preserve">daftar orang tajir khan dasar bayar pajak daftar tajir dasar </t>
  </si>
  <si>
    <t>akses aplikasi  beli bbm subsidi akses internet rata milik smartphone timbang lanjut bijak</t>
  </si>
  <si>
    <t>detiknetwork beli bbm pertalite solar subsidi wajib daftar situs  telat daftar konsumen arah beli bbm nonsubsidi</t>
  </si>
  <si>
    <t>pertalite spbu dekat habis terap aplikasi  spbu skitar gmn</t>
  </si>
  <si>
    <t>milik sepeda motor daftar  beli pertalite</t>
  </si>
  <si>
    <t xml:space="preserve">yuk daftar website </t>
  </si>
  <si>
    <t>kamsute id  match stnk nopol ide lo jual kite beli ribet gampang</t>
  </si>
  <si>
    <t xml:space="preserve">tajir kalo dasar mobil ukuranya mobil avanza kredit tajir tajir mobil avanza gimana beda pakai npwp tajir ngga nya pakai </t>
  </si>
  <si>
    <t xml:space="preserve">aneh masak disamain daerah kacau udah sulit rakyat pakai </t>
  </si>
  <si>
    <t>donlot  donlot jg linkaja bzzzzzzzzz</t>
  </si>
  <si>
    <t xml:space="preserve"> harap subsidi sasar</t>
  </si>
  <si>
    <t>pks kritik beli pertalite pakai  anggap repot konsumen temponasional</t>
  </si>
  <si>
    <t>yuk unduh aplikasi  siap</t>
  </si>
  <si>
    <t>bismillah  uninstall whatsapp</t>
  </si>
  <si>
    <t>iseng liat web  bilang mobil mewah ga pakai solar subsidi</t>
  </si>
  <si>
    <t xml:space="preserve">klo title ny doang mending isi konteks bahasa alien keburu promosi </t>
  </si>
  <si>
    <t>beli bbm beli gas kg wajib pake aplikasi  suruh doang tp minim sosialisasi hobi banget bikin bingung warga</t>
  </si>
  <si>
    <t>jujur aja yg sempurna kmrn dr peduli lindung pasti limit yg benr batas dll cm the best we can have right now sop yg oke slain pake  jg cm sempurna nunggu brp</t>
  </si>
  <si>
    <t xml:space="preserve"> beli pertalite</t>
  </si>
  <si>
    <t xml:space="preserve">duh beli gas kg wajib daftar aplikasi </t>
  </si>
  <si>
    <t xml:space="preserve">beli lpg kg daftar </t>
  </si>
  <si>
    <t>pakai aplikasi  nomor ktp stnk bebas bbrp nomor stnk</t>
  </si>
  <si>
    <t>rasa beli pertalite  pake  lumayan lumayan emosi hahaha</t>
  </si>
  <si>
    <t>beli bensin bayar tol dkk linkaja and voila they re realizing their company vision slow but sure proses pelan pelan beli bensin mandatory  salah paymentnya linkaja kartu debit cool</t>
  </si>
  <si>
    <t>install  gala young ku memori penuh</t>
  </si>
  <si>
    <t xml:space="preserve">yg motor kredit nunggak yg motor dlm awas deb kolektor yg motor pajak mati daftar </t>
  </si>
  <si>
    <t>beli lpg  sasar warga miskin woii warga mu miskin android beli pulsa uang makan susah copotmenteridongok</t>
  </si>
  <si>
    <t>betuuullll btw  catat nomer stnk kalo sepeda kredit stnk trus klo beli second stnk nama milik rempong daftar  nya</t>
  </si>
  <si>
    <t>ribet pake  mending pilih  naevis we love you</t>
  </si>
  <si>
    <t>aplikasi  syarat beli pertalite solar subsidi</t>
  </si>
  <si>
    <t>tdk dg aplikasi lindung peduli  biar lenyap</t>
  </si>
  <si>
    <t>beli bensin spbu pake apk  yg beli bensin ecer pake apk pertamini</t>
  </si>
  <si>
    <t>aplikasi  mekanisme salur bbm solar pertalite jakarta peran lapis masyarakat atas masalah  pertalite  solar solarsubsidi</t>
  </si>
  <si>
    <t>hah sumpah gatau fungsi pake app gpp udah pake  syarat beli pertalite praktis tracking bulan konsumsi bbm habis  ga bodoh bikin atur guna scan barcode</t>
  </si>
  <si>
    <t>unduh  syarat beli pertalite solar subsidi</t>
  </si>
  <si>
    <t xml:space="preserve">mending hapus aja subsidi pertalite solar proses antri bbm tunjuk aplikasi  tambah antri bbm tugas spbu paham aplikasi </t>
  </si>
  <si>
    <t>aplikasi  liat data milik liat jenis mesin kendara daftar problem nya produsen sepeda motor kayak base bahan bakar dipake pertalite kalo isi pertamax yo bocor bro</t>
  </si>
  <si>
    <t>yg memori hpnya dh penuh bingung hapus aplikasi biar bs download  wkwk</t>
  </si>
  <si>
    <t>gaspol unduh aplikasi  bestie</t>
  </si>
  <si>
    <t>aplikasi  syarat beli bbm subsidi jenis pertalite solar juli</t>
  </si>
  <si>
    <t>instal   link aja isi saldo  bayar make  maaf mas kita ga ga barcodenya so ambil duit deh atm pertanyaanya siap cabang  layan masyarakat</t>
  </si>
  <si>
    <t xml:space="preserve">fungsi  klo spbu msh bayar cash gie </t>
  </si>
  <si>
    <t>hajar bintang yuk ribet ngisi bensin aja kudu dounload protes netizen biar sampe rezim ribet arabsaudi  bumn yuk gassskeun playstore</t>
  </si>
  <si>
    <t xml:space="preserve">  patra niaga wajib beli bbm subsidi aplikasi </t>
  </si>
  <si>
    <t xml:space="preserve"> pedulilidungi</t>
  </si>
  <si>
    <t>implementasi masyarakat harus akses aplikasi situs web  ponsel beli pertalite solar bijak tuai arafah putin zelensky</t>
  </si>
  <si>
    <t xml:space="preserve">buru yuk unduh </t>
  </si>
  <si>
    <t xml:space="preserve"> pasti distribusi bbm lpg sasar </t>
  </si>
  <si>
    <t>pake hp  daptar coba cek marah marah</t>
  </si>
  <si>
    <t>spbu  mesti ain free wifi ya kali aja yg beli pertalite paket data abis  spbu pertalite</t>
  </si>
  <si>
    <t>kemaren pertalite auto langka grgr bijak regis  juli</t>
  </si>
  <si>
    <t>daftar  kendara roda mobil rental informasi</t>
  </si>
  <si>
    <t>ngisinya shell pakai  kahh</t>
  </si>
  <si>
    <t xml:space="preserve">jenis kendara wajib palai qr code  </t>
  </si>
  <si>
    <t xml:space="preserve">beli minyak curah haru pakai pedulilindungi beli pertalite pakai </t>
  </si>
  <si>
    <t>salur subsidi lpg kg aplikasi  maret pasuk tahap</t>
  </si>
  <si>
    <t xml:space="preserve"> who infolayananmasyarakat</t>
  </si>
  <si>
    <t>harap tenang duduk yg manis sebentar larang guna hp spbu hapus pasti download  biar pundi uang tambah bayar hutang negara</t>
  </si>
  <si>
    <t>ribet minyak goreng pakai kode qr pertalite pakai  hadeh</t>
  </si>
  <si>
    <t>yg ga smartphone mohon antri konter dekat yg ga uang beli smartphone ngutang hi mimin yg mudah rakyat penuh butuh hari apk  coba</t>
  </si>
  <si>
    <t>juli  buka daftar situs  uji coba daerah cocok data masuk guna qr code pindai ekonomi kompas</t>
  </si>
  <si>
    <t xml:space="preserve">bsk kurleb minggu dpn daftar barcode nya gausah pake apk </t>
  </si>
  <si>
    <t xml:space="preserve">netizen hukum amp protes bijak  ngasih rating bintang nyungsep kayak </t>
  </si>
  <si>
    <t xml:space="preserve">wksksk pandang kalo beneran make </t>
  </si>
  <si>
    <t xml:space="preserve">paksa uninstal instagram instal </t>
  </si>
  <si>
    <t xml:space="preserve">kriteria mobil motor daftar </t>
  </si>
  <si>
    <t>potret akibat perintah indonesia bisa nyusahin rakyat aja tolak beli pertalite solar  tolak beli minyak goreng pedulilindungi bas nik</t>
  </si>
  <si>
    <t>masuk toilet spbu daftar  pakai aplikasi ga</t>
  </si>
  <si>
    <t>juli  buka daftar website  kenal manfaat</t>
  </si>
  <si>
    <t>ajar salah perintah keluar jurus baru kendali konsumsi bbm subsidi aplikasi  bijak mudah susah rakyat utk beli bbm subsidi</t>
  </si>
  <si>
    <t>motor kudu pake  kh kira mobil sj</t>
  </si>
  <si>
    <t>aplikasi  beli gas lpg kg wacana</t>
  </si>
  <si>
    <t>orang orang kritik putus  nama ubah ga biasa kaya pas krl money</t>
  </si>
  <si>
    <t>pertalite konsumen beli gas melon lpg kilogram mesti transaksi aplikasi pertamin</t>
  </si>
  <si>
    <t>guna aplikasi  dar itung an bisnis jual beli aplikasi yg hak subsidi yg smartphone</t>
  </si>
  <si>
    <t>ribet atur ya bikin gampang ky aplikasi  tinggal klik trus berangkat</t>
  </si>
  <si>
    <t>scooter dewasa anak skuter alloy st maks kgs collabonationtour jokowi  agnezmob</t>
  </si>
  <si>
    <t>rating  alamaak jelek banget</t>
  </si>
  <si>
    <t xml:space="preserve">daerah besok terap atur beli petralite solar aplikasi </t>
  </si>
  <si>
    <t>khusus buka apps  aman ledak serang fitnah dajjal</t>
  </si>
  <si>
    <t>support hbs tag anies ri holywingslecehkanislam bapakpolitikidentitas rezimsusahinrakyat  kadrun spbu tutuptempatmaksiat tka china holywings arab saudi muhammadiyah</t>
  </si>
  <si>
    <t>salah logika beli pertalite pakai   pakai hp hp gak nyala spbu salah logik</t>
  </si>
  <si>
    <t>alhamdulillah migor pertalite pakai aplikasi pedulilindungi  uang moga rakyat sejahtera</t>
  </si>
  <si>
    <t>abi can nyobian  aplikasi eta cantum teu jenis kendara merk cc na dll tah pami tos ka kumpul data na bade kumahakeun data na tos daftar kendara mewah teh naon wae pamarentah kantun damel atur larang ngisi pertalite langsung</t>
  </si>
  <si>
    <t>salah logika beli pertalite pakai   pakai hp hp gak nyala spbu salah logika beli pertalite pakai   pakai hp orang gak beli hp gak beli pertalite</t>
  </si>
  <si>
    <t>jokowi beda pulang kampung mudik akses aplikasi  pakai hp anggap dr larang</t>
  </si>
  <si>
    <t>daerah besok terap atur beli petralite solar aplikasi  atur undang pro kontra nilai sulit masyarakat</t>
  </si>
  <si>
    <t>rating  auto anjlok</t>
  </si>
  <si>
    <t>coba download aplikasi  ucapin trus kado bbm</t>
  </si>
  <si>
    <t>kritik tajam pks beli bbm subsidi pakai aplikasi  bikin ribet kuasa neng banget yah bikin ribet ra</t>
  </si>
  <si>
    <t>udah pake  fine aja asa simple cashless suka cashback</t>
  </si>
  <si>
    <t>klo nanya tuju  bikin aplikasi  teh sih kalo itung an biaya bbm bln udah dasar ban</t>
  </si>
  <si>
    <t>wacana beli lpg kg pakai  tunggu daftar bbm selesai</t>
  </si>
  <si>
    <t xml:space="preserve">beli makan rakyat syukur rakyat hutang hp download aplikasi </t>
  </si>
  <si>
    <t>beli pensin pake  spbu gabolrh main hp</t>
  </si>
  <si>
    <t>beli pertalite amp solar pakai  mudah amp praktis simak untung mudah bgt ayo download guys</t>
  </si>
  <si>
    <t>dzulhijjjah dakwah islam dont wait semuabisakena impi  thank you wayv spbu kamis instagramdown idul adha good morning</t>
  </si>
  <si>
    <t xml:space="preserve">patut rakyat tolak  tindak dasar hukum perintah atur kriteria terima pertalite warga kota bandung tolak beli pertalite pakai aplikasi </t>
  </si>
  <si>
    <t>ahayy haloo didownload ya  wkwkk</t>
  </si>
  <si>
    <t>rang orang gak baca berita kali yah daftar doang gak pake  daftar biar data mobil cc gak pake subsidi kalo motor cc</t>
  </si>
  <si>
    <t>kota kabupaten wajib daftar  beli bbm subsidi juli</t>
  </si>
  <si>
    <t>dg  orang yg hak dapt nonsubsidi menjdi susah kendala gaptek hp ada miskin susah</t>
  </si>
  <si>
    <t xml:space="preserve">bikin repot ya mang keluh kesah sopir angkot kota sukabumi beli pertalite pakai </t>
  </si>
  <si>
    <t>order  oh iya antri km bentar mbak sinyal jelek</t>
  </si>
  <si>
    <t>waini kota sukabumi daerah uji coba beli bbm subsidi pakai  juli</t>
  </si>
  <si>
    <t>catat besok juli beli bbm solar pertalite wajib pakai  simak daftar link downloadnya</t>
  </si>
  <si>
    <t>daftar konsumen hak bbm subsidi aplikasi    pertalite</t>
  </si>
  <si>
    <t xml:space="preserve">beli pertalite solar pakai aplikasi  simak bayar pertalite  </t>
  </si>
  <si>
    <t xml:space="preserve"> collecting data</t>
  </si>
  <si>
    <t>kritik tajam pks beli bbm subsidi pakai aplikasi  bikin ribet kuasa neng banget yah bikin ribet rakyat sih rezimtakutdi kritik rezimtakutdi kritik</t>
  </si>
  <si>
    <t xml:space="preserve"> bijak beli pertalite pakai  batas tempobisnis</t>
  </si>
  <si>
    <t>geger applikasi  ratingnya netizen jeblok netizen aplikasi  unfaedah atas muka bumi</t>
  </si>
  <si>
    <t>spam bintang  yuk</t>
  </si>
  <si>
    <t>wilayah tahap laku bijak beli bbm subsidi    pertalite</t>
  </si>
  <si>
    <t xml:space="preserve">bintang langit serah pada kecuali utk </t>
  </si>
  <si>
    <t>baca bolak mafia bbm  utk verifikasi yg hak beli bbm lawas org kaya yg nikmat bbm subsidi ga mafia an</t>
  </si>
  <si>
    <t>bpbd himbau warga waspada angin kencang uji coba  kabupaten kota juli sak</t>
  </si>
  <si>
    <t xml:space="preserve">ambul mobil jenazah pakai  kendara bbm subsidi pertalite  </t>
  </si>
  <si>
    <t>populer money alas  pilih wilayah wajib daftar  gaji pns cair jumat</t>
  </si>
  <si>
    <t>batas tp spy beli yg masuk  wallahu lam hehehe</t>
  </si>
  <si>
    <t>perhati pertalite beli lpg daftar  idcorner</t>
  </si>
  <si>
    <t>ah kemarin sore langsung nanya pegawai spbu si utama kendara roda roda aman ga pakai  pegawai si begituu</t>
  </si>
  <si>
    <t>klo ngisi tangki mobil motor isi dgn  kalo masak pake gas pakai  aplikasi aja</t>
  </si>
  <si>
    <t>kalo minyak pake pl kasi rakyat awam desa bnyk ga pake smartphone kalo bbm pake  gimana aman sinyal dsb hape ga on spbu aja tdk hipokrit</t>
  </si>
  <si>
    <t>beli lpg kg daftar  nyusain rakyat ajah oohh program pem</t>
  </si>
  <si>
    <t>beli pertalite bbm subsidi wajib daftar aplikasi  website resmi</t>
  </si>
  <si>
    <t xml:space="preserve">jgn lupa install jg </t>
  </si>
  <si>
    <t xml:space="preserve">daftar nikah </t>
  </si>
  <si>
    <t xml:space="preserve">kencan jemput doi rumah daftar </t>
  </si>
  <si>
    <t>agen gas elpiji kota solo aku berat wajib pakai aplikasi  kep</t>
  </si>
  <si>
    <t>agen gas elpiji kota solo aku berat wajib pakai aplikasi  konsumen beli gas elpiji ukur kg sisi baik jual gas elpiji ukur kg tingkat</t>
  </si>
  <si>
    <t>mau subsidi minyak goreng amp pertalite kpd yg sasar cipta aplikasi pedulilindungi p</t>
  </si>
  <si>
    <t>ga main hp jir spbu nek mbledos gimana pertalite solar  spbu</t>
  </si>
  <si>
    <t>eh emang daerah kudu nggo  jg tgl</t>
  </si>
  <si>
    <t>jual netflix murah garansi dm wa youtube premium spotify disney hotstar viu apple music go wetv grammarly hbo iqiyi amazon prime video sewa zoom scribd quillbot iflix hulu vsco vpn max  jordi giselle popo spbu azzam cha minho pertalite</t>
  </si>
  <si>
    <t xml:space="preserve"> operator kelola migas indonesia harus masyarakat beli bensin jenis pertalite solar subsidi gas elpiji ukur kg gas melon registrasi aplikasi  beli</t>
  </si>
  <si>
    <t xml:space="preserve">min juli daerah wajib pakai aplikasi </t>
  </si>
  <si>
    <t>beli pertalite  untuk motor mobil mewah sasar kendara roda de</t>
  </si>
  <si>
    <t>rating apliikasi  jelek ditambahh keluh guna gak pakai money yg laku tol parkir</t>
  </si>
  <si>
    <t xml:space="preserve"> hukum sunnah wajib sih</t>
  </si>
  <si>
    <t>ga warganet bang yg udah make  jg ngerasa bantu mudah yg berat blm nyoba bang</t>
  </si>
  <si>
    <t xml:space="preserve">syarat daftar beli bbm pertalite aplikasi </t>
  </si>
  <si>
    <t>selep gabah nggawe  gak</t>
  </si>
  <si>
    <t>udah download aplikasi  bang</t>
  </si>
  <si>
    <t>beli pertalite solar wajib daftar aplikasi  juli</t>
  </si>
  <si>
    <t>aihh gua aja gaptek gimana guaaa sedih gin njirr hape gua unduh appnya nahh kendara bokap and his phone ga ngeunduh appnya bokap segaptek sinyal kunyuk ituuuu ayo app  nyebelin sumpah</t>
  </si>
  <si>
    <t xml:space="preserve"> wajib beli pertalite pakai  barcode print sulit ayo sulit</t>
  </si>
  <si>
    <t xml:space="preserve">yuk download </t>
  </si>
  <si>
    <t>beli lpg kg daftar  nyusain rakyat ajah oohh program perintah membrantas miskin tolakaplikasi tolakaplikasi</t>
  </si>
  <si>
    <t>juru bicara  masyarakat beli bensin jenis pertalite solar subsidi gas elpiji ukur kg gas melon wajib registrasi aplikasi  cegah salah sasar</t>
  </si>
  <si>
    <t>tidur mikirin lontong sara  mending cari cuan yuk sayang bandarwalet slot gacor slotgacor slotgacorhariini rtp rtpbandarwalet rtphariini</t>
  </si>
  <si>
    <t xml:space="preserve">pertalite beli lpg kg pakai </t>
  </si>
  <si>
    <t>dsini  ttp dimanfaatkn fitur canggih data scanner database aplikasi  sinkron scra relatime dg jembatan nik yg hp canggih cek data nya scra visual yg gak hp beli bensin distribusi ttp trkontrol</t>
  </si>
  <si>
    <t>and idk how many gas stations on malang terima ngerti bayar linkaja guna  syarat isi no offense folks yg subsidi maju dlm smartphone nya</t>
  </si>
  <si>
    <t>warganet aku berat beli bensin jenis pertalite solar subsidi gas elpiji ukur kg linkaja aplikasi  sulit akses linkaja aplikasi  milik ponsel pintar android</t>
  </si>
  <si>
    <t>kayak nggak apal negara aja neng lempar isu ambil bijak udah gaduh cancel diem aja ya tetep kemarin periode pertalite aplikasi  besok ya</t>
  </si>
  <si>
    <t xml:space="preserve">cegah timbun salah sasar  operator kelola migas indonesia resmi wajib masyarakat beli bensin jenis pertalite solar subsidi gas elpiji ukur kg lalu registrasi aplikasi </t>
  </si>
  <si>
    <t>scooter dewasa anak skuter alloy st maks kgs collabonationtour jokowi  agnezmoboymagnet sanji gigi popo malam holywings instagram eh twitter kisssi terlanjursayang semuabisakena pertalite</t>
  </si>
  <si>
    <t xml:space="preserve">breaking news juli esok beli bensin jenis pertalite solar subsidi resmi bayar linkaja aplikasi  kabar baru perintah putus beli gas elpiji ukur kg linkaja aplikasi </t>
  </si>
  <si>
    <t>beli migor curah pakai aplikasi pedulilindungi beli pertalite solar pakai aplikasi  na</t>
  </si>
  <si>
    <t>trs td iseng cek app  amp link aja play store appnya msh bnyk yg kudu bnrin bacain reviewnya tu jd bikin bnr kudu mastiin bpkku bsk paham amp aman amp lancar app ato klo susah ya beli jd pertamax</t>
  </si>
  <si>
    <t>mau subsidi minyak goreng amp pertalite kpd yg sasar cipta aplikasi pedulilindungi  beli aplikasi aplikasi akses hp android kelompok sasar yg terima subsidi android</t>
  </si>
  <si>
    <t>kalang keluarga ku sndri udh obrol  baik gmna ntr pas isi dllnya bpkku sndri emng paham begitu apalg linkaja nya jujur yg keparnoan sndri ngisi bensin pas brng klrg tmn omng yok hpnya tarok yok</t>
  </si>
  <si>
    <t>orang orang yg sdh kaya bansos contoh program  yg perintah ngegas pikir</t>
  </si>
  <si>
    <t>dateng langsung pom ngapain suruh pakai  sih hp tilulit tilulit supir angkotnya hp jadul hitam putih</t>
  </si>
  <si>
    <t>spbu pampang atur tdk main hp isi barusan ig baca teliti dr lipi yuyu bilang klo akses app  minim ledak kecuali tlp picu tp beliau gk jamin hp spbu aman</t>
  </si>
  <si>
    <t>daftar  subsidi simak tentu syarat beli pertalite solar subsidi</t>
  </si>
  <si>
    <t>pelangi terima deposit pulsa link aja ovo dana go pay bri link daftar ovo dana link aja go pay bsi wa livechat promo wa msmarvel  popo kisssi</t>
  </si>
  <si>
    <t>collabonationtour jokowi  agnezmoboymagnet sanji gigi popo malam holywings instagram eh twitter kisssi terlanjursayang semuabisakena hadiah saham ukraina chelsea nato eropa putin</t>
  </si>
  <si>
    <t>pelangi terima deposit pulsa link aja ovo dana go pay bri link daftar ovo dana link aja go pay bsi wa livechat promo wa msmarvel  popo sanji gigi</t>
  </si>
  <si>
    <t>warga tengah banyak hp kentang internet numpang wifi perintah bikin registrasi  biar sasar logika sederhana aja gak lolos heran udah bener ktp ktp gada fungsi yaaah</t>
  </si>
  <si>
    <t>gausah khawatir nih yg blm paham guna hp aplikasi  ya temen temen  jg nyediain booth ofline loh masyarakat yg sulit akses internet</t>
  </si>
  <si>
    <t>stlh berita beli pertalite kudu pake app  yg bayar pake linkaja pertalite untun untk kalang tengah bawah jd mikir pake app kudu pnya hp yg pada akses pake kuota beli pake uang blm yg sinyal hpnya susah akses trs pas</t>
  </si>
  <si>
    <t>beli lpg kg daftar  atur gila rakyat sllu yg sasar rezim penghisap darah rakyat copotmenteridongok copotmenteridongok</t>
  </si>
  <si>
    <t>sambal bikin nafsu makan jamin sambal cumi ikan geprek terlanjursayang idul adha malam popo gigi sanji take care jokowi amp bu iriana dl  twitter bkn instagram collabonationtour</t>
  </si>
  <si>
    <t>morning gaes motor viar roda new karya bit support bisnis merah on the road jawa onepiece sanji malam persik popo idul adha take care jokowi amp bu iriana dl  twitter bkn instagram terlanjursayang</t>
  </si>
  <si>
    <t>beli pertalite kota wajib aplikasi nasional beritabaru beritabaruco  pertalite</t>
  </si>
  <si>
    <t>aplikasi udah seingetku dr radio prnh disounding program kl pake aplikasi  dpt diskon ga tau jalan ga programna</t>
  </si>
  <si>
    <t>adaptasi teknologi niscaya bijak masyarakat indonesia melek teknologi subsidi sasar juli  buka daftar website  energizingyou energizingyourfuture</t>
  </si>
  <si>
    <t xml:space="preserve"> pertalite  moga ambil putus putus app putus mudah warga</t>
  </si>
  <si>
    <t xml:space="preserve"> bagus sih digitalisasi dsb kaji dr target guna dmn orang tua sulit dgn teknologi jg bahaya guna ponsel spbu kalo ngelacak guna subsidi pake ktp ya</t>
  </si>
  <si>
    <t>malam eh pagi fyi sandal declan slide kulit utk pria empuk soft nyaman pakai modern stylish lapis karet licin terlanjursayang idul adha take care jokowi amp bu iriana dl  twitter bkn instagram</t>
  </si>
  <si>
    <t>pnya apps  coz promo bli pertanax lapang spbu bnyk alas mesin</t>
  </si>
  <si>
    <t xml:space="preserve"> mudah daftar bbm subsidi website  nasional beritabaru beritabaruco jatimberitabaruco </t>
  </si>
  <si>
    <t>jokowi emang teh best sayang  sedih</t>
  </si>
  <si>
    <t>mayan download aplikasi  subscribe rbu bulan bayar utang negara wkowkwokwow</t>
  </si>
  <si>
    <t>nunggu berita data dr guna app  bocor klasik problem negara wakanda</t>
  </si>
  <si>
    <t xml:space="preserve"> udah loh laku isi solar truk angkut gas lpg kg wajib bayar pake  maret uji coba rambah beli lpg kg wilayah uji coba</t>
  </si>
  <si>
    <t>heboh nih beli pertalite pakai  thread berita yg lewat net</t>
  </si>
  <si>
    <t>klo beli bbm subsidi pake apk  bikin akun aja eror hmm</t>
  </si>
  <si>
    <t xml:space="preserve">organda kota sukabumi berat terap </t>
  </si>
  <si>
    <t>wanita terkadang lupa betapa harga muhammadiyah taehyung popo lontong instagram jhope more  btsintheseom persik kalong</t>
  </si>
  <si>
    <t>pt  persero imbau masyarakat daftar beli bbm jenis pertalite aplikasi  lantas langkah langkah daftar simak infografis topnews</t>
  </si>
  <si>
    <t xml:space="preserve">juli beli bbm pertalite solar milik qr code daftar  sesuai bbm subsidi masyarakat sasar baca lengkap daftar trans update sobat jaditau </t>
  </si>
  <si>
    <t>tolak usul beli pertalite pakai   bikin susah sengsara rakyat rakyat turun jalan hp kuota low battery ngga beli pertalite susah rakyat</t>
  </si>
  <si>
    <t>gila aja lo dalam pake app  yg butuh internet tau dalam aja yg pakai apps   juli</t>
  </si>
  <si>
    <t xml:space="preserve"> jalan uji coba salur bbm subsidi sasar aplikasi  mana masyarakat daftar juli</t>
  </si>
  <si>
    <t>juli masyarakat laku pendaftaraan aplikasi   jalan uji coba salur bbm subsidi sasar provinsi sumbar kalsel sulut jabar diy</t>
  </si>
  <si>
    <t xml:space="preserve"> resmi luncur aplikasi  atur masyarakat hak pertalite solar tahap buka juli daftar batas</t>
  </si>
  <si>
    <t xml:space="preserve"> inovasi  tuju atur beli bbm subsidi uji coba provinsi sumbar kalsel sulut jabar diy</t>
  </si>
  <si>
    <t xml:space="preserve"> aneh gak pom bensin dgn ada  </t>
  </si>
  <si>
    <t xml:space="preserve">stafsus menteri bumn arya sinulingga dukung  salur bbm sasar inovasi aplikasi </t>
  </si>
  <si>
    <t xml:space="preserve">  brigh gas tamak</t>
  </si>
  <si>
    <t>habis downlod   trus beli pertalite hp nya dinyalain ga</t>
  </si>
  <si>
    <t>arya sinulingga dukung   tuju utama pajak rakyat nikmat orang hak sulit uji guna pedulilindungi</t>
  </si>
  <si>
    <t>salah inovasi   aplikasi tuju bbm subsidi nikmat orang arya sinulingga tuju pajak rakyat pakai orang hak</t>
  </si>
  <si>
    <t>sesuai tuju aplikasi arya sinulingga bbm subsidi sasar arya sinulingga dukung  guna  cegah milik kendara mewah konsumsi bbm subsidi</t>
  </si>
  <si>
    <t>arya sinulingga stafsus menteri bumn aplikasi  usung  tuju terima bbm subsidi sasar pajak rakyat pakai orang hak</t>
  </si>
  <si>
    <t>gua udah uji coba bayar bensin pake   amp link aja so far enak pakai gaenak nya pom bensin nya suka gaada mesin mesin error udah sih aja</t>
  </si>
  <si>
    <t xml:space="preserve"> ketat beli pertalite solar beli bbm  juli masyarakat registrasi aplikasi baca lengkap</t>
  </si>
  <si>
    <t xml:space="preserve">nunggu berita spbu ledak buka aplikasi  </t>
  </si>
  <si>
    <t>udah nge gas kayak gin malu gak sih kalo tau guna aplikadi   juli tahap uji coba provinsi kota provinsi baca injek gas</t>
  </si>
  <si>
    <t xml:space="preserve">gak ledak kalo buka aplikasi </t>
  </si>
  <si>
    <t>daftar hp   daftar jenis kendara kerja lulus kartu minyak subsidi salah orang hasil orang kaya nilai tuju</t>
  </si>
  <si>
    <t>drpd instal   rata jangkau internet dlu</t>
  </si>
  <si>
    <t>minimal pake sandal aja udah syukur tuh kalo gapake sepatu kena tilang gabisa gitu bom beli bbm haru pake app   buduh gimana udab tau atur spbu gaboleh main hp ngerokok pokok bikin bahaya</t>
  </si>
  <si>
    <t>jgn heboh ygy beli bbm via   jalan uji coba salur bbm subsidi sasar aplikasi acu lindung masyarakat yg hak nikmat bbm subsidi guys paham ya</t>
  </si>
  <si>
    <t>gak maaf kak layak kasar hallo  apakabar moga sehat kuat sarap caci maki</t>
  </si>
  <si>
    <t xml:space="preserve">no rutin ngisi bensin pake  </t>
  </si>
  <si>
    <t>tur kendara pake sepatu aja udah aneh turut beli bbm pake app   gimana siih mikir gasih rang yg sawah banget gitu pake sepatu nyeker doang</t>
  </si>
  <si>
    <t xml:space="preserve">dijakarta udah pom tipe self service pakai  </t>
  </si>
  <si>
    <t>bijak bikin susah orang beli butuh pokok beli pertalite pertalite pakai   beli minyak goreng pakai nik amp peduli lindung perintah skrg sulit hidup rakyat nya</t>
  </si>
  <si>
    <t>duh netizen heboh nih dgn aplikasi  salur bbm subsidi sasar loh website  laku data guna</t>
  </si>
  <si>
    <t xml:space="preserve"> syarat beli pertalite solar buru daftar  aplikasi bbmsubsidi pertalite solar pengendalianbbmsubsidi</t>
  </si>
  <si>
    <t>ngebet banget si dapetin data base duduk masyarakat sampek beli bensin wajib pakek aplikasi  tam</t>
  </si>
  <si>
    <t xml:space="preserve">  nya</t>
  </si>
  <si>
    <t>beli bbm make apk  ituh apk nempelinnyah jidat ya cuman endonesa nyang apah serba bikin ribed negara tetangga kagak ginih mo beli bbm ya make duwit nyok dah buru bukadraftrkuhp biar mingkin danta apahan ajah isinyah</t>
  </si>
  <si>
    <t>corporate secretary  patra niaga irto ginting masyarakat wajib milik aplikasi  daftar terima bbm subsidi</t>
  </si>
  <si>
    <t>balik pro and cons   yg dr bbrp pake app karna mls bawa cash be like</t>
  </si>
  <si>
    <t>gimana download   pertamini</t>
  </si>
  <si>
    <t>akun  tumbang</t>
  </si>
  <si>
    <t>beli pertalite pake aplikasi  spbu larang hp maha coba aya tanggap ti dulur maha</t>
  </si>
  <si>
    <t>bayar pake   ya qr kode bayar</t>
  </si>
  <si>
    <t>make pertalite bener bener download aplikasi   yee</t>
  </si>
  <si>
    <t>jember spbu daerah kota gabisa pake   wekekekekek</t>
  </si>
  <si>
    <t xml:space="preserve">  pertamax bright gas giveaway tebakanasik rjbt  yuk guys follow ikut yuk giveaway nya</t>
  </si>
  <si>
    <t>gatau gak pake   sih  rugi karna udah bikin apps gada guna hehe</t>
  </si>
  <si>
    <t xml:space="preserve">maaf kak yg kerja pom bensin bayar pakai aplikasi tinggal scan aja gampang yg bikin ribet sistem nya   ganggu bikin antri solar track </t>
  </si>
  <si>
    <t>halo min pegang hp depan pompa isi ga ya keluarin hp buka  takut ledak wkw</t>
  </si>
  <si>
    <t>bayar pakai  shell cashless pakai gopay mas nya baca ya https</t>
  </si>
  <si>
    <t xml:space="preserve">serius beli pertalite sen aplikasi  </t>
  </si>
  <si>
    <t>pom tulis larang meng aplikasi hp ya petralite menggunkana aplikasi   konsep nya gimna ya sistem nya gimna ya</t>
  </si>
  <si>
    <t xml:space="preserve"> girlfriend ae gaduwe opo maneh  </t>
  </si>
  <si>
    <t>tega rezim rakyat desa ga kenal app   app peduli lindung jd susah</t>
  </si>
  <si>
    <t xml:space="preserve">  bikin ribet</t>
  </si>
  <si>
    <t>tolak guna   oknum operator spbu dgn alas mudah jaring sdg eror kertas print nya pakai enjoy terima beli cash  sidak spbu deh</t>
  </si>
  <si>
    <t xml:space="preserve">  input nomor kendara</t>
  </si>
  <si>
    <t xml:space="preserve">peluang bisnis nongkrong pom bensin buka jasa input aplikasi  </t>
  </si>
  <si>
    <t xml:space="preserve">heboh bahasin beli bbm spbu pakai aplikasi </t>
  </si>
  <si>
    <t>gausa pake   ain qris pom aja udh</t>
  </si>
  <si>
    <t>iya usaha pay cashless biasapan om lamun isi saldo aya biaya admin eta maksudna anu komen teh sigana soalna abi tos ngangge sih   singkron ka link aja luamayan ngisi saldo adminna rb</t>
  </si>
  <si>
    <t>abis download bikin akun   link aja keren sih pas isi jam margonda blm siang kalo pake aplikasi kirain teh juli diwajibin spbu nya udah banget</t>
  </si>
  <si>
    <t xml:space="preserve"> uji coba pake  beli pertalite solar yg beli subsidi orang ga hp polyponic gimana donlot appsnya subsidi sasar</t>
  </si>
  <si>
    <t xml:space="preserve">tolong opung laku guna aplikasi   beli bbm tanda larang maen hp pom bensin diapus </t>
  </si>
  <si>
    <t>bener ribet dah pake   developer mikirin teknis lapang</t>
  </si>
  <si>
    <t xml:space="preserve"> ujicoba beli pertalite solar guna daftar situs daftar kendara web app </t>
  </si>
  <si>
    <t>orang heboh  skrg meanwhile suami dah pake banget dapet cashback isi  dex lumayan yekan</t>
  </si>
  <si>
    <t>langkah  bbm subsidi sasar ayo daftar data  link website</t>
  </si>
  <si>
    <t>rokok ya area spbu jarak meter dispenser isi   bumn</t>
  </si>
  <si>
    <t>larang hp isi bbm spbu bayar pakai aplikasi   pakai hp</t>
  </si>
  <si>
    <t>hmmm pom bensin larang main hp tp pas isi bensin hrs pake   seru jugaaa pikir out of the box</t>
  </si>
  <si>
    <t>pt  ter gugat iii tanah pemilil masyarakat yg haa kontrak sewa pt pelita air service maret maret jendral had menteri atr surat kontrak sewa pt pas</t>
  </si>
  <si>
    <t>pakai apps klo beli bbm aus ga dpt subsidi pakai   bbm subsidi beli pertamax or petamax plus ga   aus pakai apps check harga minyak hari cari yg lbh murah check this out</t>
  </si>
  <si>
    <t xml:space="preserve">fyi gaes spbu  </t>
  </si>
  <si>
    <t xml:space="preserve"> untung beli mesti donlot  bayang miliar hasil bulan donlot</t>
  </si>
  <si>
    <t>gpp sih klo suruh pake   tp gaji warga naikin smua ya biar beli hp kuota warga indo yg msih hp butut jg loh hp rame dlm kluarga</t>
  </si>
  <si>
    <t>aneeh sekaliiiii sblm atur   larang hp spbu skrg bilang aman negara jual aplikasi ga berani naikin hrga bbm</t>
  </si>
  <si>
    <t>alas  pilih wilayah wajib daftar  beli pertalite solar</t>
  </si>
  <si>
    <t>fakta guna  beli bbm pihak  masyarakat hak terima bbm subsidi</t>
  </si>
  <si>
    <t>rakyat gk download aplikasi   si empunya aplikasi dapet duit quota milik operator jaring seluler indosat telkomsel dll operator bodoh sengsara rakyat pungut pasu jual vaksin msih tah</t>
  </si>
  <si>
    <t>beli pertalite musti pake aplikasi   warga dki nyantae aja gk panik bang anies solusi mudah warga dki salah satu pemprov dki keluar anggar pasang jaring wifi gratis spbu yg distribusi pertalite</t>
  </si>
  <si>
    <t xml:space="preserve">  brightgas pertamax tebakanasik rjbt</t>
  </si>
  <si>
    <t xml:space="preserve">alih beli bensin era digital  </t>
  </si>
  <si>
    <t xml:space="preserve">  pertamax bright gas yuk ikut giveaway tebakanasik rjbt </t>
  </si>
  <si>
    <t>temenku pagi testi beli bensin pake   tutor nya gampang liat gampang</t>
  </si>
  <si>
    <t>dear   brightl gas pertamax let join bestie rjbt</t>
  </si>
  <si>
    <t>daftar   sekk</t>
  </si>
  <si>
    <t>apps   kalo daerah pelosok aman kah</t>
  </si>
  <si>
    <t xml:space="preserve">ya pantes masyarakat ngamuk org yg suruh pake  yg pake solar ama pertalite bain tp emang pinter </t>
  </si>
  <si>
    <t>aja install   semalem liat butuh</t>
  </si>
  <si>
    <t>scan barcode   pintu masuk</t>
  </si>
  <si>
    <t>bijak beli bensin aplikasi  pancing reaksi orang uji coba banya</t>
  </si>
  <si>
    <t>km ngerti beli pertalite solar daftar   yg pakai sasar pertamax beli pertalite paham koq yg ribut aplikasi biasa baca utuh judul</t>
  </si>
  <si>
    <t>bijak beli bensin aplikasi  pancing reaksi orang uji coba sangsi efektivitas aplikasi salur bbm baru esai</t>
  </si>
  <si>
    <t>donlod   ram gb susah</t>
  </si>
  <si>
    <t>perintah bikin app mending satuin aja peduli lindung   dll biar gak menuh in hp hp ku kentang</t>
  </si>
  <si>
    <t xml:space="preserve"> logika aneh  nggak peka hidup rakyat via</t>
  </si>
  <si>
    <t xml:space="preserve"> terap standar ganda main game wa an spbu buka aplikasi  sultan  mah bebas</t>
  </si>
  <si>
    <t>beli minyak goreng peduli lindung beli bensin aplikasi   ok aja</t>
  </si>
  <si>
    <t>rencana  utk batas beli bbm subsidi jenis pertalite solar dgn aplikasi  undang</t>
  </si>
  <si>
    <t>kriteria aja yg hak pake pertalite artikel dasar si mamit resmi  perintah plus daftar   ya error pas dapet otp yaudah emang pertamax gan</t>
  </si>
  <si>
    <t xml:space="preserve"> untung beli mesti donlot  bayang miliar hasil bulan donlot tsb rakyat gt rugi</t>
  </si>
  <si>
    <t xml:space="preserve"> indikasi tdk milik data akurat ttg guna bbm subsidi guna aplikasi  cetak kartu slh upaya mnuju big data yg peran sbg dsr ambil kputusn strategis yg dhrp cipta program amp inovasi yg tpt utk dpt mngkatkn puas langgan</t>
  </si>
  <si>
    <t xml:space="preserve">  pertamax bright gas giveaway tebakanasik rjbt </t>
  </si>
  <si>
    <t>dirut  sih lawan politik sampe hati nyerang pake isu  udah beliau loh gak minat nyapres ga serang</t>
  </si>
  <si>
    <t>udah pake aplikasi  udah thn ga kado gitu yg ulang pakai gitu ltr gpp</t>
  </si>
  <si>
    <t xml:space="preserve"> bright gas pertamax tebakanasik giveaway rjbt  ayo ikut</t>
  </si>
  <si>
    <t>gapernah pake   tau udah daftar pas reset password udah profil emang defaultnya gimana sih</t>
  </si>
  <si>
    <t>rek nek ape tumbas bensin iku kudu nduwe apk   didelokno nng mas spbu nek ngisi bensin larang hp</t>
  </si>
  <si>
    <t>pakai pedulilindungi pergi pakai   beli minyak iki sok arep ngising nggo bokeryok btw kalo berita lengkap kendara roda ygy</t>
  </si>
  <si>
    <t>judul berita pakai tarik baca ya disalahgunakan judul   sarana opsi alternatif beli bbm</t>
  </si>
  <si>
    <t xml:space="preserve">  nggak fungsi ktp maksimal data duduk disimp</t>
  </si>
  <si>
    <t>jadi mesti banget ya bikin akun   klo beli pertalite</t>
  </si>
  <si>
    <t>infografis daftar aplikasi  lengkap seputarinews rcti infografis   solar pertalite</t>
  </si>
  <si>
    <t>kalo emang cilik beli pertalite musti pake aplikasi   ya  musti nyediakan jaring wifi gratis spbu yg ngejual pertalite klo ngaku partai cilik klo kgak nyediain jaring wifi ya partai licik munafik</t>
  </si>
  <si>
    <t xml:space="preserve">   adventure</t>
  </si>
  <si>
    <t xml:space="preserve">yuk download aplikasi </t>
  </si>
  <si>
    <t xml:space="preserve"> wajib beli bbm jenis pertalite solar subsidi daftar  juli</t>
  </si>
  <si>
    <t xml:space="preserve"> wajib beli bbm jenis pertalite solar subsidi daftar  juli daftar kumparantech</t>
  </si>
  <si>
    <t xml:space="preserve">suara  </t>
  </si>
  <si>
    <t xml:space="preserve">serius klo isi bensin pake  </t>
  </si>
  <si>
    <t>asyiiik untung untung  klo guna  nungggu point ngumpul</t>
  </si>
  <si>
    <t>boro boro   kadang aja pom gabisa bayar make kartu cashless skrg mlh make aplikasi ckckck</t>
  </si>
  <si>
    <t xml:space="preserve">  engga ramah org tua yg gaptek perintah</t>
  </si>
  <si>
    <t>habis uninstall ndoro gara gak spbu tawar mesti   erorr</t>
  </si>
  <si>
    <t>gw aja yekan pake   syarat promo nya gitu lumayan potong harga ribu</t>
  </si>
  <si>
    <t>pake   gratis gituu harga aja kalo gak guna mending gausa</t>
  </si>
  <si>
    <t xml:space="preserve">  pertamax bright gas</t>
  </si>
  <si>
    <t xml:space="preserve"> ujicoba aplikasi   juli solusiuntukmembangunri</t>
  </si>
  <si>
    <t xml:space="preserve">baru oot  patuh mahzab perintah ribet susah ya nggak gampang praktis jujur  pengin alih pertamax ribet banget pakai </t>
  </si>
  <si>
    <t>emang tunjuannya sna yg kaya kaya yg miskin susah pake   sma aja</t>
  </si>
  <si>
    <t>larang aktif hp buka app   ga kudu buka hp</t>
  </si>
  <si>
    <t>insident bakar sapa yg salah om kesini akan paksa gila om beli migor pake peduli lindung bahan bakar pakek   yg gk becus kerja eh rakyat paksa ikutin atur peoplepower</t>
  </si>
  <si>
    <t xml:space="preserve">mesti siap nih daftar </t>
  </si>
  <si>
    <t>rencana  utk batas beli bbm subsidi jenis pertalite solar dgn aplikasi  undang polemik yg nilai atur teknis batas tsbt sosialisasi luas terap mepet juli</t>
  </si>
  <si>
    <t>nih cepat donwload aplikasi  ya</t>
  </si>
  <si>
    <t>alas  aplikasi  beli bbm salur bbm subsidi sasar</t>
  </si>
  <si>
    <t>pakai   kalo beli bensin pake jirigen</t>
  </si>
  <si>
    <t>alas  beli bbm via  jalan salur bbm subsidi sasar</t>
  </si>
  <si>
    <t xml:space="preserve"> uji coba aplikasi   juli solusiuntukmembangunri</t>
  </si>
  <si>
    <t>yup tuju  kasi info detail mekanisme guna qr  sy cari dpt nyimpulin dr nyata yg yg gamblang jelasinnya</t>
  </si>
  <si>
    <t>main hp larang isi bbm wacana beli bbm subsidi pake aplikasi   jgn selip iklan capres sprti toilet spbu aplikasi aaah arah nya mana</t>
  </si>
  <si>
    <t xml:space="preserve"> uji coba aplikasi  juli solusiuntukmembangunri solusiuntukmembangunri</t>
  </si>
  <si>
    <t>aplikasi  aktif fitur metode bayar sambung akun wallet linkaja  amp telkomsel both bumn go figure nambah metode bayar via kartu debit bank sambung akun linkaja</t>
  </si>
  <si>
    <t xml:space="preserve">selamat negara komedi gue bawa motor gue matiin hp isi bensin tp ni lucu bodoh yg alami spbu main hp beli bensin daftar aplikasi wkwk beli bensin udah antri suruh pergi cm buka  </t>
  </si>
  <si>
    <t>aplikasi  yg kontra ad yg pro kekny guna deh anda fitur batas beli gak langsir biar harga gak kek taikkkkk</t>
  </si>
  <si>
    <t xml:space="preserve">  aplikasi link bisnis subsidi bio solar beli cpo bisnis uang negara masuk kantong</t>
  </si>
  <si>
    <t>yg sy tangkap kyanya applikasi trsebut dpt mndptkan data kendara serta alamat tilang eletronik depan jg jd lbh lancar di  isi data lngkp bngt smpai alamat prtnyaannya utk</t>
  </si>
  <si>
    <t>kalo udh akun   trs diapain lg</t>
  </si>
  <si>
    <t xml:space="preserve">  dah mending urusin tuh orang yg ngisi bensin bawa dirigen langsung nyerobot depan ga antri</t>
  </si>
  <si>
    <t>dati aplikasi   yg susah rakyat lbh bikin atur pertalite sepeda motor fan harga naik dg harga selisih dg pertamax</t>
  </si>
  <si>
    <t>isi pertalite pakai   jg aplikasi linkaja isi bayar ga opsi add kartu debit bank</t>
  </si>
  <si>
    <t>aplikasi   lbh naik aja pertalite solar dg jsrak harga yg tdk persen orang ksn berslih bbm non subsidi</t>
  </si>
  <si>
    <t xml:space="preserve"> uji coba beli bbm pertalite solar aplikasi  jumat juli ba</t>
  </si>
  <si>
    <t xml:space="preserve">  isi folder</t>
  </si>
  <si>
    <t>isi bbm duit ribu masuk spbu beli pulsa data ribu   ngisi pertalite rb aja tka cina kadrun jordi dingin</t>
  </si>
  <si>
    <t>guna aplikasi   akn bikin cilik susah subsidi tdk sasar jt spd motor mati motor yg bayar pajak persen kendara mak yg tdk faham aplikasi tdk hp persen mobil butut opo gak ambyar</t>
  </si>
  <si>
    <t>perintah wakanda kalo bikin atur emang rakyat melek teknologi smartphone ya lha mosok lek dhe mu meh mangkat ngarit ndadak instal   ndisik ben iso tuku bengsin ning pom</t>
  </si>
  <si>
    <t xml:space="preserve"> kntl bangsattttt ga sudi download   lu mikir jual bakpao coklat emang android hah</t>
  </si>
  <si>
    <t>install   khususon guna pertalite bikin bijak gitu tau blm sih guna pertalite orang dgn kondisi kayak gmana gk ngomongin kota desa deh kota aja kalo kayak tukang becak ojol pkl gmn</t>
  </si>
  <si>
    <t>bpk bilang tambah beli migor pake ktp aplikasi peduli lindung beli bbm daftar   ribet nyusahin rakyat aja</t>
  </si>
  <si>
    <t>app mobile   untuk masyarakat efisien bebas iklan adv berat kuota data telp selular</t>
  </si>
  <si>
    <t>yok download   mari main hp pombensin</t>
  </si>
  <si>
    <t>provinsi tetap juli  beli bbm subsidi</t>
  </si>
  <si>
    <t xml:space="preserve">  peduli lindung</t>
  </si>
  <si>
    <t xml:space="preserve">baca ya berita jgn judul aja ujicoba tgl juli buka daftar serentak indonesia daftar via web trus dpt qr code yg jg cetak via aplikasi  </t>
  </si>
  <si>
    <t>wacana beli bbm subsidi aplikasi   bikin susah rakyat milik mobil lawas sepeda motor butut tdk bs aplikasi tdk faham tdk android</t>
  </si>
  <si>
    <t>wkwk indo ga sanggup kaya tahan google kawan kawan huawei aja merosot tajam support google   gimana google wkwkwk</t>
  </si>
  <si>
    <t xml:space="preserve">yup tinggal sana pakai </t>
  </si>
  <si>
    <t>nih fakta beli bbm via   dukung salur bbm subsidi sasar sesuai kuota target harap</t>
  </si>
  <si>
    <t>klo pake hp spbu slama gw kumpulin poin amp payment   ok aja kayak klo nelpon skitar pump station yg bahaya ya</t>
  </si>
  <si>
    <t xml:space="preserve">  pertamax bright gas ikut yuk giveaway tebakanasik rjbt </t>
  </si>
  <si>
    <t>pakai   otomatis top up link aja</t>
  </si>
  <si>
    <t>dear guna hp fi larang spbu beli pertalite pakai aplikasi  yg hp</t>
  </si>
  <si>
    <t>indonesia orang bodoh beli minyak goreng yg subsidi pakai ktp aplikasi peduli lindung beli bbm pakai aplikasi   hp hp bahaya spbu otak padang kering gimanalah</t>
  </si>
  <si>
    <t xml:space="preserve"> uji coba sistem beli pertalite solar platform  </t>
  </si>
  <si>
    <t>apan sih beli bensin hrs pake   repot pagi pagi top up linkaja kalo gada saldo nyari nyari atm setor tunai hadehhh</t>
  </si>
  <si>
    <t>jawab bright gas pertamax   tebakanasik rjbt  yuk ikut guys</t>
  </si>
  <si>
    <t xml:space="preserve">  bright gas pertamax giveaway tebakanasik rjbt </t>
  </si>
  <si>
    <t>kalo tiru negara maju masuk akal negara maju gak gitu trus kalo terap maksa utk kalang silah yg beli pertalite solar pake apps   lagipula rakyat bnyak yg gak pake pertamax</t>
  </si>
  <si>
    <t>hilang premium model beli premium  masy yg ribet beli yg  bilang sepi minat tuju capai premium hilang</t>
  </si>
  <si>
    <t>bayar pake linkaja aja blm  ready udah ngewajibin  gayakin sih lapang real kyk gimana nanya yg pake apps cmn  negeri yg papan biru utk swasta blm ready</t>
  </si>
  <si>
    <t>beli pertalite pake aplilasi   larang main hp spbu maha</t>
  </si>
  <si>
    <t>spbu larang hp kalo isi bensin nunjukin udah daftar web   dr hp gw gagal paham yg jelasin gimana</t>
  </si>
  <si>
    <t>pertalite utk mrk yg utk mendown load aplikasi   butuh gadget hp yg smart harga mahal</t>
  </si>
  <si>
    <t xml:space="preserve"> uji coba aplikasi   solusiuntukmembangunri</t>
  </si>
  <si>
    <t>aplikasi   uji coba juli kota kabupaten sebar provinsi solusiuntukmembangunri</t>
  </si>
  <si>
    <t>uji coba aplikasi   juli solusiuntukmembangunri</t>
  </si>
  <si>
    <t>uji coba aplikasi   kota sebar ina provinsi solusiuntukmembangunri</t>
  </si>
  <si>
    <t xml:space="preserve"> uji coba aplikasi  juli solusiuntukmembangunri</t>
  </si>
  <si>
    <t>udah trial pom bensin karawang bekas bayar pakai   eh pom bensin gak terima hadeh</t>
  </si>
  <si>
    <t>daftar kendara hak beli pertalite aplikasi   roda roda nya daftar kemarin riweuh buka website daftar ya lha roda</t>
  </si>
  <si>
    <t xml:space="preserve">  pom bensin tulis larang nyala hp</t>
  </si>
  <si>
    <t xml:space="preserve"> praktik monopoli aplikasi  akses wallet sedia linkaja</t>
  </si>
  <si>
    <t>jawab   pertamax bright gas yuk ikut  fb amp tiktok ig ades</t>
  </si>
  <si>
    <t>dungu gmn pas lo buka  nozzle jg trbuka pengemdara lo emg  intruksi larang buka hp dg jarak trtentu ngga</t>
  </si>
  <si>
    <t>kalo pas scan nya ini gaenak antri nya kalo kendara roda kaya nya sih isi nunggu bsaa bayar yg roda kaya sungkan aja bayar pake   kalo pas sepi aja</t>
  </si>
  <si>
    <t>isi minyak motor pake   eh responya appsnya bgt signal gua bagus</t>
  </si>
  <si>
    <t>susah tu   ntar tu beli bawa tab wkwk</t>
  </si>
  <si>
    <t>otak hati susah coba lu protes yah atur beli bbm aplikasi   beli mihor pake pedulindungi atur yg bikin ribet beli butuh</t>
  </si>
  <si>
    <t xml:space="preserve">ya barti evaluasi masukin kritik saran  aja make  </t>
  </si>
  <si>
    <t>rencana guna aplikasi   terap provinsi</t>
  </si>
  <si>
    <t>iya   yg orang daerah gmn ya</t>
  </si>
  <si>
    <t>pake kartu bang nama kartu indonesia cair urus on line pk   kartu dpt liter hari klo mw full tank pinjam kartu dgn mbl mantab masuk akal gak bossman</t>
  </si>
  <si>
    <t>ad yg salah kayak communication  kait guna aplikasi   beli pertalite solar yg kalo tgl juli spbu indonesia juli tahap uji coba</t>
  </si>
  <si>
    <t xml:space="preserve">tata daftar konsumen aplikasi  </t>
  </si>
  <si>
    <t xml:space="preserve">bikin ribet negara habis pertalite  </t>
  </si>
  <si>
    <t>dear masuk area spbu mastiin hp mati minimal mode pesawat takut pake hp area spbu tolong ngisi bahan bakar pake aplikasi  yg atur yg ngelanggar</t>
  </si>
  <si>
    <t xml:space="preserve">buru daftar balikpapan provinsi pilih uji coba aplikasi  </t>
  </si>
  <si>
    <t xml:space="preserve">tahap daftar guna aplikasi  </t>
  </si>
  <si>
    <t>uji coba aplikasi   juli moga sukses</t>
  </si>
  <si>
    <t>uji coba aplikasi   terap provinsi</t>
  </si>
  <si>
    <t xml:space="preserve">gampang banget daftar kendara aplikasi  </t>
  </si>
  <si>
    <t xml:space="preserve">guna sepeda motor beli pertalite antri amp liter ribet aplikasi  </t>
  </si>
  <si>
    <t xml:space="preserve">yuk daftar kendara aplikasi  </t>
  </si>
  <si>
    <t>hidup susah karna financial atur yg ga masuk akal perintah beli pertalite pake  pert</t>
  </si>
  <si>
    <t>naik tdl gt batas beli pertalite solar dg   akibat naik hrga bahan baku biaya produksi biaya distribusi yg akibat naik harga barang smntra hasil kerja tdk suram nasib kerja</t>
  </si>
  <si>
    <t>tdk pakai ktp aja ya  ain monitor amp scan barecode ktp yg isi sistem  dri situ cek konsumen yg layak pertalite solar ktp yg daftar apliasi pertalite simpel</t>
  </si>
  <si>
    <t>pake app   kadang karyawan pom bensin bodo bingung bal spbu doang</t>
  </si>
  <si>
    <t>enak ya kalo kontrol lu gede banget gojek tokped butuh dekade gede aplikasi link aja  tsel sampe skrg ga gede karna emg kontrol  taon an aplikasi kasi bijak wajib app indo pake</t>
  </si>
  <si>
    <t>harap henti mekanisme beli bbm subsidi daftar aplikasi  blm atur menteri esdm regulator</t>
  </si>
  <si>
    <t xml:space="preserve"> ketat syarat beli bbm pertalite solar salah satu  beli bbm</t>
  </si>
  <si>
    <t>beli minyak goreng peduli lindung beli bensin aplikasi   ok aja generasi skrng kalo yg gaptek hp aja yg jadul gimana tuh beli pake duit loh buka gratis rungkaad siti</t>
  </si>
  <si>
    <t xml:space="preserve">  buka hp aplikasi</t>
  </si>
  <si>
    <t>opo   yo laku ng pertamini barang</t>
  </si>
  <si>
    <t>canda sm anak univ  instal   eh bnr aja</t>
  </si>
  <si>
    <t>maaf nih kelean ngecek gak sih  spbu capek download pas spbu  staffnya bom kakak gak megang cash atm tinggal tolong cek serius nyusahin orang</t>
  </si>
  <si>
    <t>meuli minyak make aplikasi peduli lindung meuli pertalite jeung solar make   sieun engke pas cengek maha</t>
  </si>
  <si>
    <t>duduk indonesia juta yg kendara juta yg bikin aplikasi   untung beliung</t>
  </si>
  <si>
    <t>udah download   udah dipake bayar gaperlu input no ktp missed mana gitu</t>
  </si>
  <si>
    <t>tgl juli beli bensin make   pom bensin gk maen hp</t>
  </si>
  <si>
    <t>hpnya hny utk rgstrasi bossman ptgs spbu via edc cek nopol kendraan bl sdh trdftr br isi bbm struk pngsian bbm dscan edc spbu   pgguna trekam jmlh sisa jatah bbm isi   sy uninstall sjk dwjibkn byr dg link aja amp tdk bs cash debit</t>
  </si>
  <si>
    <t>download   beli bensin subsidi premium</t>
  </si>
  <si>
    <t>kali download  tp medan bilang isi bensin spbu  bilang galon pas jalan suami isi bensin blg bg gak singgah galon mogok jalan jalan</t>
  </si>
  <si>
    <t>emang iya   nih</t>
  </si>
  <si>
    <t>jawab   bright gas pertamax min kuy ikut ga bestie</t>
  </si>
  <si>
    <t>gimana ga motor yaa   nya aja</t>
  </si>
  <si>
    <t>beli minyak murah pke aplikasi lindung beli solar petralite pake   klu yg ngomong negara</t>
  </si>
  <si>
    <t xml:space="preserve">masyarakat paham gun </t>
  </si>
  <si>
    <t xml:space="preserve">  bright gas pertamax join yuk</t>
  </si>
  <si>
    <t xml:space="preserve">bagus pake  </t>
  </si>
  <si>
    <t>larang main hp pom suruh pake   transaksi wkwk</t>
  </si>
  <si>
    <t xml:space="preserve">  asli udah aja yg maka dr mubazir buang duit bayar apknya ya yaudah suruh pakai aja dr gak kepake kek gt</t>
  </si>
  <si>
    <t>bayangin je aki aki tua bawa astrea pom bensin pas sampe apps   nya kek wkwkwk tu orang tua megang smartphone aja kali</t>
  </si>
  <si>
    <t xml:space="preserve"> spbu pertalite solar  subsiditepat</t>
  </si>
  <si>
    <t>larang telp internet  pakai internet</t>
  </si>
  <si>
    <t xml:space="preserve">produk    pertamax bright gas izin tag yuk ikut kuis giveaway tebakanasik rjbt </t>
  </si>
  <si>
    <t>ujicoba beli pertalite pakai aplikasi   ribet batas hidup</t>
  </si>
  <si>
    <t xml:space="preserve">nanti bonceng sm yg mba sall yg  </t>
  </si>
  <si>
    <t>yhah training karyawan pake   ki yo boss boss do ngoprak ben melu training ben ra geger nang group ae sampe group olga didadekno ajang yuk training thayang thayang thayang whut random thoughts just did syeeeet</t>
  </si>
  <si>
    <t>mbuh teh yen terap pom bensin ditraining karyawane   bayar money si tuh sentuh money daerah daerah kebumen hft</t>
  </si>
  <si>
    <t>pom bensin link aja app   pom pusat kota yg gak rest area tol su mo jombang solo banyak</t>
  </si>
  <si>
    <t>ummm ngene mas laku guna   wacana beli pertalite aplikasi motif utama app   promo linkaja</t>
  </si>
  <si>
    <t xml:space="preserve">juli provinsi terap beli solar pertalite aplikasi </t>
  </si>
  <si>
    <t>coba pake   udh top up saldo eh pom kaga bgsatt alesannya error kalo ga yg mobil jembudd</t>
  </si>
  <si>
    <t xml:space="preserve">masyarakat daftar aplikasi  website </t>
  </si>
  <si>
    <t>niat cashless ga usa pakai aplikasi  mesin edc aja de ga  tugas kadang malas pakai ngga kali ya</t>
  </si>
  <si>
    <t>sumatera barat kalimantan selatan sulawesi utara jawa barat yogyakarta provinsi terap beli pertalite solar  juli</t>
  </si>
  <si>
    <t xml:space="preserve"> syarat beli bbm subsidi pertalite solar</t>
  </si>
  <si>
    <t>iya bener ya hp jgn deket sm mesin bensin eh apas lupa nama pokok koo suruh instal   ntar bs ledak gimana ya serius gatau</t>
  </si>
  <si>
    <t xml:space="preserve">lu udah kelar donlot  </t>
  </si>
  <si>
    <t>lu donlot   pake hotspot mba pom bensin</t>
  </si>
  <si>
    <t>pov lu bom donlot   pas isi pertalite</t>
  </si>
  <si>
    <t>pertamin strategi cegah bocor salur bbm subsidi  rampung registrasi website pertami</t>
  </si>
  <si>
    <t>nangisin   aja wes</t>
  </si>
  <si>
    <t>serius tugas spbu ga main hp alas isi bbm bilang bikin ledak spbu wajib pakai  larang larang kemarin ya bodoh publik ga main hp spbu</t>
  </si>
  <si>
    <t>apaansi   data lu bayar bebas tunai non tunai jg gua udh nyoba</t>
  </si>
  <si>
    <t>yg bikin aplikasi   kaya nya dungu</t>
  </si>
  <si>
    <t>apaansi   data lu bayar bebas tunai non tunai jg gua udh nyoba ga seribet yg bayang</t>
  </si>
  <si>
    <t xml:space="preserve">wkwkw bayang ntar klo basenya udah gede sampe dijadiin medsos update status ah aplikasi  </t>
  </si>
  <si>
    <t>pertamin strategi cegah bocor salur bbm subsidi  rampung registrasi website  masyarakat daftar kendara  konsumsi bbm subsidi</t>
  </si>
  <si>
    <t>berat beli pertalite pake   banget sebenernya pertalite subsidi loh ama negara</t>
  </si>
  <si>
    <t>mohon maaf nich orang miskin sempet beli handphone daftar   beli paket</t>
  </si>
  <si>
    <t>yup canggih canggih teknologi bs bahaya hindar wajar aza pake uang cash receh ngapain jg pake aplikasi  banyak aplikasi hp jg bs ledak coba kaji ulang</t>
  </si>
  <si>
    <t xml:space="preserve"> uji coba jual bensin pertalite solar aplikasi digital  juli bijak nilai susah masyarakat  </t>
  </si>
  <si>
    <t>berat beli pertalite pake   banget sebenernya pertalite subsidi loh ama negara ga ribet bantu negara ya beli pertamax wak at least bantu negara subsidi sasar kalo beli pertamax</t>
  </si>
  <si>
    <t>sara   cek promo alat lem tembak watt refill paket glue gun bakarns harga rp dapat shopee</t>
  </si>
  <si>
    <t>udah make  ngincer hadiah beli bbm struk gua scan   awas aja gilir  ngadain promo cashback duit pake aplikasi hhh</t>
  </si>
  <si>
    <t>sambung link aja   error ya</t>
  </si>
  <si>
    <t>pake pertamax orang ngide bikin atur ngisi pertalite wajib aplikasi   asli loe koplak banget sih hidup udah ribet susah cari duit lo bikin ribet atur atur konyol</t>
  </si>
  <si>
    <t>memori hp gua udh penuh iya beli hp download   biar beli bahan bakar</t>
  </si>
  <si>
    <t xml:space="preserve"> maaf bu beli pertalite wajib pake aplikasi   jual ecer bang bang beli kesini aja bang simple biar aja ribet</t>
  </si>
  <si>
    <t>pom bensin tulis gaboleh main hp trs pake   nya gimana klo minggirin motor dlu gitu ribet mikirnya sih</t>
  </si>
  <si>
    <t>kela spbu pan gak main hp nya ai nga scan qr   na mana</t>
  </si>
  <si>
    <t>kalo meeting dgn orang  bahas  yg</t>
  </si>
  <si>
    <t>download   kah sobad pertalite</t>
  </si>
  <si>
    <t xml:space="preserve">pom bensin larang gaboleh pake hp beli bensin pake  </t>
  </si>
  <si>
    <t>ni   bensin nyampe pelosok aja kagak pake apps ga habis pikir</t>
  </si>
  <si>
    <t xml:space="preserve">pajero yg isi pertalit kemaren daftar ga ya  </t>
  </si>
  <si>
    <t>beli pertalite solar masyarakat harus pakai aplikasi  bijak  rusak yg bangun privasi sy karyawan spbu yg isi tangki</t>
  </si>
  <si>
    <t>pt  patra niaga uji coba guna  syarat salur bbm subsidi juni tahap uji coba pt  patra niaga laku syarat sultra</t>
  </si>
  <si>
    <t>bingung sm bijak juli yg blg kalo isi  hrs pake apk   sistem gmn deh gaboleh main hp trs fyi gw jg bokek gapunya kuota anjggg</t>
  </si>
  <si>
    <t xml:space="preserve">wayahe nutup banking ndak do ngo top up  </t>
  </si>
  <si>
    <t xml:space="preserve">maen hp larang spbu knp bayar bbm suruh pakai   bbm </t>
  </si>
  <si>
    <t>kl pertalite download   ya</t>
  </si>
  <si>
    <t>hidup serasa sulit kanan kiri atur peduli lindung   ampun njenengan telpon isrofil mawon kersane ndang sebul trompette</t>
  </si>
  <si>
    <t>stopbelidi stopbelidi stopbelidi stopbelidi stopbelidi stopbelidi stopbelidi stopbelidi stopbelidi belibensineceran   pertalite bumn</t>
  </si>
  <si>
    <t>kayak beli pertalite pake   orang ngisi saldo link aja link aja untung gitu link aja gak laku ya bumn dompet tambah gitu hutang negara masuk</t>
  </si>
  <si>
    <t>rencana beli bensin pake   wkwk</t>
  </si>
  <si>
    <t>isue pake   syukur udh pindah shell pake apk shellpoint</t>
  </si>
  <si>
    <t>biar nempel kepala getwellsoonjeffsatur boikotaice indra bekti holywings azzam tka china ve psikologi   momenterindah namjoon las anime marvelselcaday tutuptempatmaksiat viral sanrio</t>
  </si>
  <si>
    <t>beli bbm pake aplikasi  tdk langsung bawa hp sdngkan bikin atur larang genggam hp pom  lawak</t>
  </si>
  <si>
    <t>isi bensin bae pake aplikasi   skalian aja ntar wc wajib pake aplikasi  berak</t>
  </si>
  <si>
    <t xml:space="preserve"> larang aktif hand phone also  isi bbm scan hehehe  puncak komedi apa makan minua ludah</t>
  </si>
  <si>
    <t>perintah aplikasi   beli bahan bakar minyak bbm subsidi</t>
  </si>
  <si>
    <t xml:space="preserve">  aplikasi gajelas anj gaada tutorial mesan pas coba fitur chat cs gin</t>
  </si>
  <si>
    <t>gw bahagia ya dgn bijak   gw pakai pertamax jd ga pengaruh yg lbh lg gw bahagia puja jg merasakn dampak pasti beban lbh berat tetp pura bahagia junjung salah</t>
  </si>
  <si>
    <t>nganggo aplikasi   amih murah</t>
  </si>
  <si>
    <t xml:space="preserve">  pakai linkaja</t>
  </si>
  <si>
    <t>guna aplikasi   tuju batas guna bahan bakar subsidi petralite kendara mewah sasar bicara data era digital</t>
  </si>
  <si>
    <t xml:space="preserve">  po kui wkwk</t>
  </si>
  <si>
    <t xml:space="preserve">  yg pake kartu gak sih</t>
  </si>
  <si>
    <t>liat dlu kalo bijak grab gojek apk akses aja dmn aja perlu kalo   ribet install regis nunggu notif jenis bayar ngantri spbu larang gak main hp gmn coba</t>
  </si>
  <si>
    <t>nelayan butuh bbm mesin perahu tani butuh traktor yg app   sulit hidup</t>
  </si>
  <si>
    <t>kalo pake   scan barcode misennya hitung udah ai mesin learning dll ya mobile device pilih</t>
  </si>
  <si>
    <t>inget jaman smp lagu nya dikta tags boikotaice indra bekti holywings azzam tka china ve psikologi   momenterindah last anime marvelselcaday tutuptempatmaksiat namjoon soyoung sanrio</t>
  </si>
  <si>
    <t>guna lansia yg gaptek app   yg hp android alternatif yg hp makan terkadang sulit contoh nelayan tani lansia</t>
  </si>
  <si>
    <t>daftar daerah jual solar uji coba aplikasi    energytoday energytodayid</t>
  </si>
  <si>
    <t>pertalite aja skrg udh langka udh pom kosong server   kaya registrasi aja error bayar</t>
  </si>
  <si>
    <t>sungguh benci perintah sumbar dr yg wajib pakai   komisaris sichina datang ahok</t>
  </si>
  <si>
    <t>bijak uji coba kota guna   utk beli pertalite mjd salah langkah utk tepat sasar subsidi</t>
  </si>
  <si>
    <t>kalo dapet subsidi ya gamau emg kudu keluar effort bkin akun  tuju bukti hak bbm subsidi tuju  bagus even eksekusi nunggu hasil</t>
  </si>
  <si>
    <t>oke sih pake   data guna pertralite sasar mana harga bbm dunia yg ga tuh data yg tumpang tindih manipulasi guna lansia siap alternatif</t>
  </si>
  <si>
    <t>uji coba pt  patra niaga layan beli pertalite solar aplikasi    energytoday energytodayid</t>
  </si>
  <si>
    <t xml:space="preserve"> pertamax bright gas giveaway tebakanasik rjbt </t>
  </si>
  <si>
    <t>turut inovasi emang tambah bayar cashless buka jalur digitalisasi aja sih  isi bensin doang si  akan bikin ecomercenya beli gas dsb gatau arah mana</t>
  </si>
  <si>
    <t>sumatera barat kalimantan selatan sulawesi utara jawa barat yogyakarta daerah uji coba jual solar subsidi pertalite aplikasi    energytoday energytodayid</t>
  </si>
  <si>
    <t xml:space="preserve">  linkaja bumn</t>
  </si>
  <si>
    <t xml:space="preserve">  tahu beli solar ditracking via nomor alam pribadi btw  unit usaha yg pakai rfid beli bahan bakar khusus spbu coco tap in sesuai data kendara saldo</t>
  </si>
  <si>
    <t>mesin edc aja yg kaga sosoan kudu  product development gajelas pikir orang ngerti ngantri</t>
  </si>
  <si>
    <t>masyarakat daftar aplikasi   website   juli pekan  energytoday energytodayid</t>
  </si>
  <si>
    <t xml:space="preserve"> ketat beli bbm pertalite solar subsidi aplikasi </t>
  </si>
  <si>
    <t>mari ikut daftar beli solar subsidi pertalite aplikasi   website    energytoday energytodayid</t>
  </si>
  <si>
    <t>daftar daerah jual pertalite solar subsidi aplikasi    energytoday energytodayid</t>
  </si>
  <si>
    <t>asli kalo make app   bingung isi bensin installnya gmna ruang memori aja dah ga sisa saben hapus sampah file mulu greget bgt ribet</t>
  </si>
  <si>
    <t>perlahan dunia pasuk era digital terap aplikasi terap indonesia salah satu guna aplikasi   beli bbm aplikasi peduli lindung beli minyak goreng</t>
  </si>
  <si>
    <t>halo min pegang hp depan pompa isi ga ya keluarin hp buka  takut ledak wkwkwk</t>
  </si>
  <si>
    <t>wkwkwkkw kaji ulang aja sih rencana beli pertalite pake   link aja pom bensin jg himbauan larang nyala ponsel hadeh ribet dah beli bensin kudu install app dah gue beli ngecer</t>
  </si>
  <si>
    <t>beli bbm subsidi hrs daftar   ya kontrol kendali amp</t>
  </si>
  <si>
    <t>modal apps   gw kalo bensin ecer jaya hidup bensin ecer hidup pertamini dah capek</t>
  </si>
  <si>
    <t>mending anggar app   transportasi distrik aja</t>
  </si>
  <si>
    <t xml:space="preserve"> oge kedah nyadiakeun wifi pom na kanggo ameh tiasa ngakses internet kanggo buka aplikasi   na</t>
  </si>
  <si>
    <t>daftar daerah beli pertalite solar aplikasi    energytoday energytodayid</t>
  </si>
  <si>
    <t>gin aja publik yg ketat peduli lindung   jg anget anget doang ketat nya abis tau brand global udah antisipasi gamau gegabah</t>
  </si>
  <si>
    <t>mari daftar aplikasi digital   website  hak pertalite solar subsidi  energytoday energytodayid</t>
  </si>
  <si>
    <t>bbrp minggu wacana  pusat isi bahan bakar bayar app   hp tugas bilang gpp aman ngisi bayar pake app barcodenya scan sana isi bbm contoh tp gambaranya</t>
  </si>
  <si>
    <t>bikin   biar ribet beli pertalite alih pertamax harga udah big data big data kintil</t>
  </si>
  <si>
    <t>beli pertalite pakai aplikasi   izin pakai hp spbu  handphone area spbu boleh tentu syarat</t>
  </si>
  <si>
    <t xml:space="preserve">juli guys kalo beli pertalite solar aplikasi   </t>
  </si>
  <si>
    <t>bentar udah app   kalo ngisi pertalite masukin nomor kendara isi bensin bikin antri kalo beli pertamax turbo gak mudah coba balik</t>
  </si>
  <si>
    <t>masyarakat hak pertalite solar subsidi daftar data website    energytoday energytodayid</t>
  </si>
  <si>
    <t>wkwkwk tenang saldo aman ndilalah   error gak bawa cash untung atm coba spbu hutan gak atm modar langsung hahaha lumayan pilih bayar</t>
  </si>
  <si>
    <t>td gue sempet nanya tugas pom nya utk aplikasi   wajib kendara mobil utk kendara motor mnurut gue mobil wajib pertalite tdk guna mobil pribadi</t>
  </si>
  <si>
    <t>prihatin aja lihat atur somplak  pake apk  jamin jokower android klw jamin puya kuota dampak atur  hp kuota ngantri dikit tambah beban bbm koplak junjung loe bong</t>
  </si>
  <si>
    <t>dear  kalo beli bahan bakar gaperlu pakai aplikasi  pakai surat nikah aja gapapa hitung hitung kurang populasi jomblo jalan raya</t>
  </si>
  <si>
    <t>udah pake   lelet isi bayar ntar suruh sampe isi ulang ga pom pake aplikasi rempong pegawai udah tua ga gardu mesin kadang gue suruh</t>
  </si>
  <si>
    <t xml:space="preserve">dar info rakyat gak skrg yg hp android ios pakai </t>
  </si>
  <si>
    <t>dar info rakyat gak skrg yg hp android ios pakai  yg alas hp kentang lolos luhut wajib daftar via web link nya yg daerah masuk tahap selamat ya</t>
  </si>
  <si>
    <t>it will be chaotic day by day because our people not used to having fuel transaction via   apps not just it people need to register them self into to be able purchase pertalite or solar which means it will be more horrifying</t>
  </si>
  <si>
    <t>dpr  maksimal sosialisasi uji coba  beli bbm subsidi</t>
  </si>
  <si>
    <t>apah iyah hrus downlod   biar isi bensen wakanda ngeribetin kalih yah</t>
  </si>
  <si>
    <t>si selesai download   wkwk</t>
  </si>
  <si>
    <t>let me tell you the worst scenario if pertalite must be bought via   apps</t>
  </si>
  <si>
    <t>barusan aja isi pake   yg pas bayar aplikasi error bayar pake linkaja liat belakang antri dah banget</t>
  </si>
  <si>
    <t xml:space="preserve">  pertamax bright gas yuk ikut teman giveaway tebakanasik rjbt </t>
  </si>
  <si>
    <t xml:space="preserve">alas  wajib beli pertalite solar pakai aplikasi </t>
  </si>
  <si>
    <t>bikin susah trus tubi tubi pasu dr   peduli lindung mantap cuan trus rakyat jerit</t>
  </si>
  <si>
    <t>infony hindar beli ecer plis gw btuh bensin ecer tmpt gua lumayan  kec  bkin jasa beli pertalite pertamax bensin aplikasi ga bensin tinggal beli aplikasi anter lokasi</t>
  </si>
  <si>
    <t xml:space="preserve">alas wajib  beli pertalite solar </t>
  </si>
  <si>
    <t>baru beli pertalite solar juli wajib pakai aplikasi    spbu spbu pertalite solar malaysiaopen jordi holywings boikotaice indra bekti prada dikta  khilafah lontong</t>
  </si>
  <si>
    <t xml:space="preserve">    telkomsel</t>
  </si>
  <si>
    <t>daftar daerah wajib pakai  beli pertalite solar   spbu pertalite solar bbm malaysiaopen jordi holywings boikotaice indra bekti prada dikta  khilafah lontong</t>
  </si>
  <si>
    <t xml:space="preserve">hey atur daftar  sasar orang butuh subsidi smartphone daftar  riset    </t>
  </si>
  <si>
    <t>dalih menep  rugi triliun gara gara masyarakat nggak pake apk  ngapain repot merem aja untung</t>
  </si>
  <si>
    <t xml:space="preserve">juli beli pertalite solar wajib daftar aplikasi    spbu spbu pertalite solarflare malaysiaopen jordi holywings boikotaice indra bekti prada dikta </t>
  </si>
  <si>
    <t xml:space="preserve">kalo gin sopir angkot wajib email kirim qr qode yg app </t>
  </si>
  <si>
    <t xml:space="preserve"> patra niaga uji coba salur pertalite solar guna hak </t>
  </si>
  <si>
    <t>datar   bright gas turun pertamax yuk ikut</t>
  </si>
  <si>
    <t xml:space="preserve">gimana tanggap balad  pertalite </t>
  </si>
  <si>
    <t>aplikasi  syarat beli bbm subsidi jenis pertalite solar salur</t>
  </si>
  <si>
    <t xml:space="preserve">mekanisme salur sasar  patra niaga inisiatif inovasi uji coba salur pertalite solar guna hak daftar sistem </t>
  </si>
  <si>
    <t xml:space="preserve">datar   bright gas turun pertamax yuk ikut giveaway tebakanasik rjbt </t>
  </si>
  <si>
    <t>beda konsep ngentod kalo gojek grab emang mudah buka jalan untung masyarakat klo   tod bikin ribet tujuannyaa mas kaga monitoring distribusi mesti ngelibatkan konsumen</t>
  </si>
  <si>
    <t>kalo pulang kaya kudu donlod   dlu nich</t>
  </si>
  <si>
    <t>duduk indonesia juta yg kendara juta yg bikin aplikasi   untung beliung nih hehehe</t>
  </si>
  <si>
    <t>id nik data   aman kloning data ktp orang yg ri butuh pilpres</t>
  </si>
  <si>
    <t>terap pakai  aplikasi lengkap data base jenis kendara no rangka ganti plat nomor konsumen no rangka</t>
  </si>
  <si>
    <t>rame bahas  ngeribetin konsumen kritisi aman data pribadi jamin ngga saat  untung dapet data user butuh usaha bpjs aja bocor udah udah</t>
  </si>
  <si>
    <t>aneh banget sih   indo make motor mobil orang yng ngerti hape hapean apah</t>
  </si>
  <si>
    <t>beli bbm subsidi hrs daftar   ya kontrol kendali amp sasar yg jd kunciannta msh puas jawab baca sob</t>
  </si>
  <si>
    <t>today saw the news and  head was like hello  are you ok</t>
  </si>
  <si>
    <t>juli provinsi terap beli pertalite solar   energytoday energytodayid</t>
  </si>
  <si>
    <t>target  juta user apk  duit duit</t>
  </si>
  <si>
    <t xml:space="preserve"> harus beli bahan bakar minyak bbm subsidi jenis pertalite solar aplikasi </t>
  </si>
  <si>
    <t xml:space="preserve">ribet beli solar pakai  </t>
  </si>
  <si>
    <t>bayar pakai link aja cetak struk ganggu   wajib tolong siap infrastruktur matang jgn tumpu spbu it sistem nya gak support</t>
  </si>
  <si>
    <t>butut   bieu nyobaan mayar meni error wae transaksi gagal klaksonin mobil</t>
  </si>
  <si>
    <t xml:space="preserve"> larang hp suruh download aplikasi  gin yah kali kaji dlu yg bner jgn liat untung aja jaring internet indo gak bgus gak rata jgn kaji jakarta aja</t>
  </si>
  <si>
    <t>dulunya lam dunia psikologi pengin banget jalan beda psikologi   holywings dikta</t>
  </si>
  <si>
    <t xml:space="preserve">iki tenan po kudu pakai  </t>
  </si>
  <si>
    <t>pas berangkat kerja isi bensin liat orang buka jok nungguin kembali nutup jok aja ga betah buka hp buka   buka link aja bom kalo saldo habis topup</t>
  </si>
  <si>
    <t>mending baca artikel yg jelasin mekanisme kerja tuh bijak suprisingly gw udh sign up   baca klo roda</t>
  </si>
  <si>
    <t>dg pake aplikasi  bikin  untung sdh monopoli tp tetep rugi bijak hy sengsara rakyat</t>
  </si>
  <si>
    <t>pt  patra niaga regional jawa barat uji coba transaksi pertalite solar via  belipertalitepakai</t>
  </si>
  <si>
    <t>ide bikin app   sih aplikasi faedah ngtrack ngebatesin yg beli aja ya yaudaaaasih nebeng pake pedulilindungi aja situ bumn pikir memori banyak instal aplikasi gajelas</t>
  </si>
  <si>
    <t>trus larang perintah kurang duduk indonesia sengaja spbu ledak jamaah  negerilucu viral  golangtweet alangkahlucunyanegeriini</t>
  </si>
  <si>
    <t>min bayar   link aja sih dompet digital</t>
  </si>
  <si>
    <t>timbang pakai aplikasi  efektif untung download saldo kosong memori hp penuh baterai hp habis sinyal kuota internet habis larang main hp spbu</t>
  </si>
  <si>
    <t xml:space="preserve">  nya saldo kak kirain bayar manual</t>
  </si>
  <si>
    <t>ortu nyuruh download   hp aing dukung mendownload apk alias ni hp ruang simpan dah habis minjem hp ortu hp nya diumpetin begimana aing mo daftar ya allah gustiii</t>
  </si>
  <si>
    <t>aplikasi   nih</t>
  </si>
  <si>
    <t>lepas nggk tuju dg bijak beli bbm pertalite pakai app   nggk alat bayar beli bbm kayak kartu toll gitu yg isi ulang praktis orang gaptek pakai</t>
  </si>
  <si>
    <t>coba om situ ngisi pertalite kaji pelosok jambi pake aplikasi   sampe dobol hpnya ngga ngga internet</t>
  </si>
  <si>
    <t>gw mikirin toll bakau smpe kotabaru sinyal tri bapuk ya trus klo yg pek gmna bayar pake   tetring mas mba yg jaga sinyal bapuk coi pp bakauheni smpe kotabaru sbliknya hp anteng kagak notip</t>
  </si>
  <si>
    <t xml:space="preserve">takut dech pom bensin ledak gara buka  </t>
  </si>
  <si>
    <t>wacana juli beli pertalite amp solar apk   tiap spbu larang gadget kepriwe kiye jon</t>
  </si>
  <si>
    <t>kalo beli bensin pake   yg ga gadget atu gaptek gimana ga bolleh main hp spbu</t>
  </si>
  <si>
    <t xml:space="preserve"> ngelawak ketawain pelosok internet susah isi money ribet  larang main hp pasar aplikasi tarik download gamau dipake haru henti lawa</t>
  </si>
  <si>
    <t xml:space="preserve">bayangin dah nguantrii puanjjangg eh kaga apk  </t>
  </si>
  <si>
    <t>gak mbayang ne nek nang  beli pertalite bayar hp lot buka  butuh menit scan barkode menit gak ruwet</t>
  </si>
  <si>
    <t>yak daftar   biar dompet kaga bengep</t>
  </si>
  <si>
    <t xml:space="preserve">pikir yg kalo pake app trus yg gak hp gmana pake app tpi rakyat kasih hp yg support </t>
  </si>
  <si>
    <t>orang ga bawa uang cash hilang emang neng banget non tunai dapet promo pusat perhati jarang pake   untung sbpu langgan tasik emg keren layan nya swasta</t>
  </si>
  <si>
    <t>selasa pt  atur beli pertalite solar spbu masyarakat beli bahan bakar subsidi wajib daftar  jayb blackpinkkpop</t>
  </si>
  <si>
    <t>why  simple tertib dagang bensin ecer yg salah konsumen pertalite ecer tertib ganti  bkal maju pertashop yg kembang turun maju linkaja masuk gojek linkaja ga bawa dam</t>
  </si>
  <si>
    <t>sdh daftar   tp gak pakai</t>
  </si>
  <si>
    <t>peduli lindung ktp kk   daftar gambar susah warga tengah bawah negara hasil minyak sawit bumi</t>
  </si>
  <si>
    <t xml:space="preserve">  bner cmn beli tabung gas aja biar anter rumah</t>
  </si>
  <si>
    <t>ngagaleuh pertalite kedah nganggo aplikasi   ngagaleuh minyak goreng kedah nganggo aplikasi duli lindung canggihna tehnologi keur ngabantu rahayat miskin sabalikna karu ema ema tkng ojeg kawasan tkng goreng supir angkot jrrd anu hp na jadul</t>
  </si>
  <si>
    <t xml:space="preserve">  solusi distribusi bahan bakar reaksi muncul beli bensi pakai aplikasi</t>
  </si>
  <si>
    <t>tanggal juli  atur beli pertalite solar wajib daftar  portalyogya  pertalite</t>
  </si>
  <si>
    <t>isi bensin pake   beli minyak goreng pake peduli lindung</t>
  </si>
  <si>
    <t>hormat jujur tdk tuju beli bbm jenis pertalite solar aplikasi   coba cek review guna yg   google play app store sinyal koneksi internet</t>
  </si>
  <si>
    <t>random  staff filling up  motorbike nol ya me aaaaaaaaaaaaaaaaaaaaaaaa</t>
  </si>
  <si>
    <t>sek cah ngisi bensin nek pom gak dolan hp lha saiki ngisi bensin kon gawe   konsep piye</t>
  </si>
  <si>
    <t>peduli lindung   pake hp paket kuota untuk utk rakyat hp kuota woi</t>
  </si>
  <si>
    <t>isi bensin pake   pom gaboleh main hp</t>
  </si>
  <si>
    <t>dasar informasi resmi laman  uji coba beli solar subsidi pertalite aplikasi  uji coba juli provinsi</t>
  </si>
  <si>
    <t xml:space="preserve">ahok yaaa install  </t>
  </si>
  <si>
    <t xml:space="preserve">cek twitter trend indra bekti azzam holywings  </t>
  </si>
  <si>
    <t xml:space="preserve">  download app   mendownload load notifikasi memory internal penuh gagal isi bensin deh</t>
  </si>
  <si>
    <t>bener pakai udh beda  pakai ngisi bensi bahaya timbul bara lantas sama   dg gojek grab beda manfaat</t>
  </si>
  <si>
    <t xml:space="preserve"> bukti  lebar sayap main big data murni penting bisnis butuh</t>
  </si>
  <si>
    <t>logika orang ngga app   ngga hp bagus kere suruh beli pertamax curiga negara atur orang gila</t>
  </si>
  <si>
    <t>selam minum air ya coba upaya irit subsidi minyak dunia pasca perang  jg inisiatif ngdain event ad pasu dikit dri event tsb dgn syarat event wajib   mkin bnyk yg download mkin dpet cuan dr play amp appstore hhe</t>
  </si>
  <si>
    <t>uji coba isi daftar aplikasi   tanggal juli propinsi</t>
  </si>
  <si>
    <t>pake pertamax bayar   dapet cashback ekonomi stabil isi pertamax cashbacknya hehehe servernya ga enak yg antri</t>
  </si>
  <si>
    <t>wacana guna aplikasi   beli bbm subsidi bikin orang susah milik motor yg sdh tua tdk hp anda yg tdk bs bl dg aplikasi</t>
  </si>
  <si>
    <t xml:space="preserve">muncul berita pom bensin salah kota bakar akibat konsumen top up aplikasi  </t>
  </si>
  <si>
    <t>positif thinking aja mbak bumn bikin   tuh bentuk kerjasama kominfo kuat sinyal rata indonesia yakan min</t>
  </si>
  <si>
    <t xml:space="preserve">nambah nambahin aplikasi aja hape gegara isi bensin  </t>
  </si>
  <si>
    <t xml:space="preserve"> beli pertalite wajib pake aplikasi   jual ecer beli kesini aja bg simpel biar aja yg ribet </t>
  </si>
  <si>
    <t>kontol lu bikin  cuman buang duit ya gila aja lo dalam pake app  butuh internet ni bikin app dah kaji sih project leadernya system requirement dll</t>
  </si>
  <si>
    <t>tenang rek suroboyo sek durung wajib gawe   gawe tuku bengsin</t>
  </si>
  <si>
    <t xml:space="preserve"> pertamax bright gas giveaway tebakanasik rjbt  motor laju ngeluh kupake bbm  tangguh</t>
  </si>
  <si>
    <t>bangun tidur liat berita kini ngisi bahan bakar spbu make  pfffft ntar  bikin gosend bahan bakar</t>
  </si>
  <si>
    <t>oh main handphone pom bensin moga nggak jadi boom pas ngisi bbm beli minyak goreng curah pakai peduli lindung pertalite pakai   butuh rakyat sulit urus rakyat sulit mudah</t>
  </si>
  <si>
    <t>keluarga pake   gaada problem biar apknya dipake org cashless dah gaada promo mager pertamax aman yaaa pake cash</t>
  </si>
  <si>
    <t xml:space="preserve">foto beli pertalite pakai aplikasi   juli viral belipertalite inilahcom jakarta </t>
  </si>
  <si>
    <t>jd tu mobil rental hrs daftar   dl kah</t>
  </si>
  <si>
    <t>ujicoba beli pertalite pakai aplikasi   ribet batas hidup org miskin kasihan tani nelayan tukang ojeg kawasan tukang sayur sopir angkot hp nya sms telepon itu keypad nya sdh bolong tega nian</t>
  </si>
  <si>
    <t>pertalite   juli besok</t>
  </si>
  <si>
    <t>app   utk sulit rakyat beli pertalite kuasa negeri henti susah rakyat sulit kurang fasilitas mewah dr uang rakyat</t>
  </si>
  <si>
    <t>beli bensin pake app   eee ae  ee dasar bumn</t>
  </si>
  <si>
    <t>hw kemaren trending ngalihin isu beli minyak goreng curah pake peduli lindung oh iya   solar pertalite wjwj</t>
  </si>
  <si>
    <t xml:space="preserve"> uji coba salur pertalite solar aplikasi  juli subsidi pertalite solar sasar f mnctvnews  pertalite solar bbm </t>
  </si>
  <si>
    <t>provinsi coba beli pertalite via  sulsel baca lengkap beritaterkini media online news breakingnews provinsi pertalite solar pertamax   sulsel indonesia</t>
  </si>
  <si>
    <t>iya beli bbm sm solar dftrbdi   dlu buka mudah nambah ngga orang hp bagus yg internetnya bs instal app dsb lg kampung gimana kasi</t>
  </si>
  <si>
    <t>neng top up link aja gawe   hmmmmmmmmm</t>
  </si>
  <si>
    <t xml:space="preserve">kudu ngisi full pertalite sblom pake  </t>
  </si>
  <si>
    <t>isi pake   maaf hp jadul ngisi udah bantu dorong bensin habis bis</t>
  </si>
  <si>
    <t>tani bingung operasional mesin beli pertalite solar gimana cek aplikasi cuman roda chat layan   gajelas nyoba call center fafifu pilih nyedot pulsa ampe habis cok</t>
  </si>
  <si>
    <t>pikir ga si kalo beli minyak make peduli lindung bayar bbm pake   yg notabennya larang guna ponsel spbu akal akal perintah kumpulin data data jual maybe sempet ngalamin email random masuk</t>
  </si>
  <si>
    <t xml:space="preserve"> laku uji coba batas beli bbm pertalite solar juli </t>
  </si>
  <si>
    <t>pertalite pake   minyak goreng oak peduli lindung kallo rumit mudah</t>
  </si>
  <si>
    <t>pantes sms dri   masuk beli bbm pkk app ya gk login appnya tpi knp masuk sms yaaaa</t>
  </si>
  <si>
    <t>anak buah bos minyak rugi nih komut dlm hati gmn ya dayung pulau lampau ah ha aplikasi   paksa masyarakat pake app tsb kalo gak pake gak bs beli minyak anak buah manjur bossss ide cemerlang komut tai lo</t>
  </si>
  <si>
    <t>nih efisiensi ya pegawai pom butuh menit typing mesin erti beli   kasi diskon kayak shopee</t>
  </si>
  <si>
    <t>bismillah jawab   bright gas pertamax giveaway tebakanasik rjbt  yuk bestie ikut</t>
  </si>
  <si>
    <t>gue pas daftar   aplikasi bilang gue uninstall takut kena daftar</t>
  </si>
  <si>
    <t>mohon info aplikasi   biar bs konek dgn kartu   sy gmn carax yaa</t>
  </si>
  <si>
    <t xml:space="preserve">ah buset bikin ribet aja sistem donlot  </t>
  </si>
  <si>
    <t xml:space="preserve">bbm subsidi hak aplikasi batas pertalite  </t>
  </si>
  <si>
    <t>mohon info trkait kartu   sy biar bs konek dgn aplikasi  gmn carax yaa</t>
  </si>
  <si>
    <t>gw ga ngerti pakai aplikasi  ngajarin jg susah blio dah cm ngerti main game fb sm ntn youtube kemarin aja pk google maps aja hari isi bensin aja ribet bgt bener nyusahin warga nih</t>
  </si>
  <si>
    <t>gw baca berita ajar gimana sistem  singkat langkah mandatory konsumen daftar platform   nunggu verifikasi sla kerja qr dipake verifikasi transaksi poin nomor aneh</t>
  </si>
  <si>
    <t>mgtnews wakil ketua dpr sufmi dasco ahmad  sosialisasi luas beli pertalite wajib pakai aplikasi  kait pikir masyarakat milik hp pada unduh aplikasi</t>
  </si>
  <si>
    <t>bilang buka aplikasi pom bensin baca akun   yg bawa beli bensin qr code yg dri daftarin kendara roda qr code taroh aja kendara beli bensin tinggal tunjukin bayar cash</t>
  </si>
  <si>
    <t>inget nge war cashback peduli ojol wkt covid bayar via   kadang error kadang mesin rusak nimbulin antre trs cb koid ganti cashback perak beli permen aja ga gilir ngadain event jor an souvenir</t>
  </si>
  <si>
    <t xml:space="preserve">aplikasi </t>
  </si>
  <si>
    <t xml:space="preserve"> uji coba salur pertalite solar guna daftar  wilayah</t>
  </si>
  <si>
    <t xml:space="preserve"> patra niaga sub holding commercial amp trading pt  persero juli uji coba salur pertalite solar guna hak daftar sistem </t>
  </si>
  <si>
    <t xml:space="preserve">  bijak minim empati</t>
  </si>
  <si>
    <t>wakil ketua dpr sufmi dasco ahmad  sosialisasi luas beli pertalite wajib pakai aplikasi  kait pikir masyarakat milik hp pada unduh aplikasi</t>
  </si>
  <si>
    <t>tgl juli wajib   spbu</t>
  </si>
  <si>
    <t>bijak bagus dri perintah mesan beli pertalite solar masuk spbu contoh scan barcode dri apk  dlu sblum masuk area spbu terobos bagus zaman gerak</t>
  </si>
  <si>
    <t>ente pakenya pertamax ga ngisi tuh   hidup ngarep banget subsidi sih</t>
  </si>
  <si>
    <t>kayak bayar pake mesin edc kalo jember jg aja   ngga rata</t>
  </si>
  <si>
    <t xml:space="preserve">spbu  </t>
  </si>
  <si>
    <t>hai ary case member bts nih jin jk jhope rm jimin suga loh gemeey gemeey bangeet koleksi case hp mereka cuss co gaiss shopee azzam  ve reply lastanime holywings lontong chico zeenunew</t>
  </si>
  <si>
    <t>daftar  login syarat wajib pertalite subsidi   pertalite solar subsidi</t>
  </si>
  <si>
    <t xml:space="preserve">  pertamax bright gas ikut yuk sobat giveaway tebakanasik rjbt </t>
  </si>
  <si>
    <t xml:space="preserve">kalo gak quota gitu gimana ya buka aplikasi  </t>
  </si>
  <si>
    <t xml:space="preserve">iya bener sih ga ribet sempet promosiin ama sales apps nya langsung spbu yg ga bayar pakai link ajh  </t>
  </si>
  <si>
    <t>ciee nginstal   apps</t>
  </si>
  <si>
    <t>daftar daerah wajib pakai  beli pertalite solar beritaviral   pertalite baca lengkap gt</t>
  </si>
  <si>
    <t>beli bbm pake  masuk ngeclose rudet emang</t>
  </si>
  <si>
    <t>indonesia tumbuh alat transportasi pesat banyak luarbisa gimana  penuh kalo pakek aplikasi  ceo  gblknya gmna si gak mikir susah gmna org tua bnyak lgi yg gak pakai hp bawa motor gmna kalo tam mledak</t>
  </si>
  <si>
    <t>beli pertalie bbm subsidi batas juli kendara isi pertalite wajib daftar aplikasi  gak bahaya pakai hp area spbu vdvctalk pertalite   spbu</t>
  </si>
  <si>
    <t>nih ya gw kasih tau gw pake link aja   banget gw tanyain persen fasilitas persen sdm gw bayar pake   aja spbu nya gak</t>
  </si>
  <si>
    <t>kemarin pas pakai   si tukang isi bensin nya nyaranin cash aja lot app nya ganggu wkwwkk</t>
  </si>
  <si>
    <t>ga pake   maksudnye</t>
  </si>
  <si>
    <t>sungguh parah wesss negeri cinta hans migor pakek lindung peduli saiki tuku bensin gawe   jare subsidi isok bangun kota lahhh</t>
  </si>
  <si>
    <t>emabg   butuh akses kencang modal scan doang lu bilang ribet</t>
  </si>
  <si>
    <t>beli minyak goreng skrng syarat nya tkp peduli lindung beli bbm syarat nya pake apk   nantik beli cabe sembako yg pake syarat apk woy perintah yg gagal jgn rakyat yg bikin ribet dgn urus bangke kau</t>
  </si>
  <si>
    <t xml:space="preserve"> ahokers pimpin   hati indonesia kolaps gara online</t>
  </si>
  <si>
    <t xml:space="preserve">  nggak fungsi ktp maksimal data duduk simpan negara tinggal kordinasi dukcapil kemensos sinkronisasi data ktp udah chipnya tinggal gesek kaya atm gitu nggak sih</t>
  </si>
  <si>
    <t>kemaren sendal jepit   yok yok</t>
  </si>
  <si>
    <t>catat nih  uji coba guna aplikasi  syarat beli bbm subsidi juli wilayah simak lengkap aplikasi</t>
  </si>
  <si>
    <t>beli bahan bakar pertalite batas juli beli pertalite wajib daftar website  aplikasi  beli rdy seputarinewsrcti rcti pertalite  bensin bbm solar</t>
  </si>
  <si>
    <t>tolong deh kaji ulang beli bbm dgn app   ga susah rakyat tolong klo bikin atur sasar ga jg</t>
  </si>
  <si>
    <t>bucket hat dokter last ghibli indra bekti holywings   sore</t>
  </si>
  <si>
    <t xml:space="preserve">  launching aplikasi sempurna tdk otomatis log out log in kendala signal dll</t>
  </si>
  <si>
    <t>haha spbu yg kunjung tolak bayar via   spbu arjosari panji suroso araya</t>
  </si>
  <si>
    <t>juli beli pertalite solar wilayah    pertalite solar</t>
  </si>
  <si>
    <t>mantap kalo nih ya yg ga daftar website apk  bener ga beli pom bensin biar beli pinggir jalan aja yg ecer botol mantep banget poko  nih sejahtera rakyat yg jual bbm ecer salut</t>
  </si>
  <si>
    <t xml:space="preserve">bingung  </t>
  </si>
  <si>
    <t>ada teman teman yg aplikasi   bayar spbu spbu yg terima pembayara</t>
  </si>
  <si>
    <t xml:space="preserve">  bayar pake link aja gimana sih</t>
  </si>
  <si>
    <t>daftar  beli bbm pertalite solar</t>
  </si>
  <si>
    <t>monggo ndaftar aplikasi   ojok mumet lurr sumber by loc kab kulon progo yogyakarta panoramakulonprogo kulonprogo jogja</t>
  </si>
  <si>
    <t>beli minyak goreng kudu make peduli lindung beli bbm kudu aplikasi   ribet kieu ieu nagara heuu</t>
  </si>
  <si>
    <t>larang main hp pom bensin bayar nya pake app   otak ku gak nyampe</t>
  </si>
  <si>
    <t>pake   larang operasi handphone spbu janggal ajaa</t>
  </si>
  <si>
    <t xml:space="preserve">perintah  pertalite non subsidi utk konsumen yg daftar </t>
  </si>
  <si>
    <t xml:space="preserve"> uji coba salur pertalite solar guna mekanisme salur sasar simak langkah uji coba salur artikel pertalite solar </t>
  </si>
  <si>
    <t>rek bijak beli bensin pake app   amp beli minyak pake peduli lindung udah ga me nggarai ruwet ciokkk</t>
  </si>
  <si>
    <t xml:space="preserve">  kada kawa diinstal wilayah ulun yg akses internetnya pake wifi ama pom bensin</t>
  </si>
  <si>
    <t>syarat beli pertalite beli hp android isi kuota internet download   kalo beli pertalite beli kuota internet kuota pertalite pertalite jalan</t>
  </si>
  <si>
    <t>rame   ya wes download apk tp ga spbu iso payment dr apk saiki nek kape beli kudu gae apk tsb ruwet</t>
  </si>
  <si>
    <t xml:space="preserve">dasco harap  kecuali bijak warga milik ponsel pintar pertalite solar </t>
  </si>
  <si>
    <t>poll pelit said kakak sinyo ahoker tipu org sdh sakit smua rakyat tipu luaaarr sakit kmu akhirat hell   utk sabotase data base uang kantor yg pkai mobil kantor uang limpah ruah</t>
  </si>
  <si>
    <t xml:space="preserve">masalahny yg bener hak iya hp yg bs pake  </t>
  </si>
  <si>
    <t xml:space="preserve">emang udah fix bang  </t>
  </si>
  <si>
    <t>untung gw uda beli bensin   ya minus ketimbang cash scan qr aja</t>
  </si>
  <si>
    <t>sdf rek wes daftar   ta gae siap tuku bensin</t>
  </si>
  <si>
    <t xml:space="preserve">wakil ketua dpr ri sufmi dasco ahmad pt  sosialisasi luas dalam kait rencana guna aplikasi  pertalite solar </t>
  </si>
  <si>
    <t>hidup bikin mudah bikin ruwet contoh ya   gak pake log in aneh aneh aja pas antri ya luama tenan</t>
  </si>
  <si>
    <t>blunder parah  bilang canggih blegedes jwkw lucu parah sih beda peludilindungan beli gas lpg pake  pertamini dlu wkakalwkwkk</t>
  </si>
  <si>
    <t>pt  patra niaga wajib masyarakat daftar beli pertalite solar juli masyarakat daftar aplikasi digital  website  infogen fm gen fmsby  pertalite</t>
  </si>
  <si>
    <t xml:space="preserve">ribet wkwkwk buka  </t>
  </si>
  <si>
    <t>juli  patra niaga uji coba beli pertalite amp solar guna yg daftar pd sistem  konsumen hak konsumsi pertalite amp solar guna beritasonora</t>
  </si>
  <si>
    <t>keluarga pakai pertamax bagus jg langkah  pakai   bagus masyarakat ndak orang bawa jurigen beli pertalite sasar dukung penuh putus cerdas</t>
  </si>
  <si>
    <t>maju orang indonesia beli barang butuh utama pakai aplikasi minyak goreng pakai peduli lindung solar pakai   perintah usaha cari solusi aneh ne makan warteg pakai aplikasi  warteg</t>
  </si>
  <si>
    <t>buset dah lha aja ga pake   org main hape ko pas ngantri masuk tas pas udah gilir isi</t>
  </si>
  <si>
    <t>mba baca deh berita baca lokasi mana aja laku   ga ush langsung ngomong kontlo kontlo kak btw nih ya mba ubah ga terima ubah ya kk aja renungin si kontlo</t>
  </si>
  <si>
    <t xml:space="preserve">seru liat pro kontra  </t>
  </si>
  <si>
    <t>emang aja ya oknum yg buat curang akibat jdi bikin antre spbu moga aja deh awas  dengna aplikasi nya cegah aksi timbun oknum tsb</t>
  </si>
  <si>
    <t>used to be user of   app long before people used it but it was very often right at the refueling point for reasons it didn work the app hasn been bugged tried to pay using loyalty card sometimes it works but not all spbu udh pake lol</t>
  </si>
  <si>
    <t>kurleb stngah th jelang milu perintah wajib kartu perdana nik prtngahan kurleb stngah th jelang milu wajib beli migor pake pl nik pertalite pake   peemainan data</t>
  </si>
  <si>
    <t>transaksi pake   engga bikin pom bensin ledak tuh atur tdk bleh ponsel</t>
  </si>
  <si>
    <t>persaan bnm dikit demo udh repot   bbm pake bangt diem aja waw negeri konoha</t>
  </si>
  <si>
    <t xml:space="preserve">perhati beli bbm pertalite solar daftar  juli pertalite  solar spbu </t>
  </si>
  <si>
    <t>konsumen pertalite biosolar wajib pakai   juli dpr ri</t>
  </si>
  <si>
    <t>may you can came in here in indonesia and try to use  to refill your car gasoline and you will be found something amazing mbak udah install  blum</t>
  </si>
  <si>
    <t>paksa   utk rakyat uji coba bocor data pkai no hp yg masuk hati uang hilang</t>
  </si>
  <si>
    <t>aneh kak isi pakek pertamax bayar pakek   isi beda spbu tugas bayar pakek   nggak kalo tanyain larang pakek telepon bayar pakek  mas mbak tugas jg nggak tau alas</t>
  </si>
  <si>
    <t>dalam kalo gaada app   beli wajib pertamax hasil kampung mumpuni banding kota</t>
  </si>
  <si>
    <t xml:space="preserve"> ketat syarat beli bbm pertalite solar salah satu  beli bbm </t>
  </si>
  <si>
    <t>ga udh pake   mesin ga eror an yaa</t>
  </si>
  <si>
    <t xml:space="preserve">direktur utama  patra niaga alfian nasution bijak keluar kuota bbm tetap cukup pertalite solar </t>
  </si>
  <si>
    <t>karna motor pinjam paksa hp saya pinjam karna pinjam motor   korban bangsa</t>
  </si>
  <si>
    <t xml:space="preserve">daftar </t>
  </si>
  <si>
    <t>jogja bang spbu bayar via   ga laporin aja bang oknum yg curang angka bbm jd mau pakai cash biar langsung masuk kantong ga masuk  adakalanya spbu ga sinyal</t>
  </si>
  <si>
    <t xml:space="preserve">juli pt  uji coba beli pertalite solar guna daftar sistem  pertalite solar </t>
  </si>
  <si>
    <t>wakil ketua dpr sufmi dasco ahmad  sosialisasi massif guna aplikasi pert</t>
  </si>
  <si>
    <t xml:space="preserve"> uji coba beli bahan bakar minyak bbm jenis pertalite solar pakai   https</t>
  </si>
  <si>
    <t>walah sampean podo mbek   ribet</t>
  </si>
  <si>
    <t>isi pertalite wajib  nasional pertalite pertamax  spbu</t>
  </si>
  <si>
    <t>moga ruben onsu cepet sembuh caca marshanda yupi holywings malam afc cup origi liga aice ganti jaksa artemis dago ajax qodari turu kamboja psm makassar puti kw   indra bekti dokter lisa</t>
  </si>
  <si>
    <t>beli pertalite pake   beli minyak goreng pake peduli lindung ktp fotocopy lucu ngga</t>
  </si>
  <si>
    <t>kalo kuliah  tetep donlod   kh bg</t>
  </si>
  <si>
    <t>app   budaya budaya fotocopy ktp lembar</t>
  </si>
  <si>
    <t>kalo tuju engga milih ga tuju kalo beli minyak pake apk peduli lindung beli bensin pake   rakyat bom lain sisi sinyal yg pelosok susah yg hp nya blm support apk</t>
  </si>
  <si>
    <t>oyo sm   its oke tp yg apk ajh yh</t>
  </si>
  <si>
    <t>ribet orang indo asa kemaren jepang gua bayar pake   dah bayar transaksi pake hape jarak aman diarahin tugas</t>
  </si>
  <si>
    <t>tuju   opsi bayar ga nkaja</t>
  </si>
  <si>
    <t>spbu larang ponsel tp beli pake   ponsel hmmm tarik</t>
  </si>
  <si>
    <t>aba aba si superhero yuk biasa alih digital download aplikasi peduli lindung   pas demo deh batal tebak drama ne  ee urgent aplikasi maybe yes maybe no</t>
  </si>
  <si>
    <t xml:space="preserve">  aplikasi ngebug gak lot lelet sih sok gaya banget negara maju gak gin ngerepotin orang les  </t>
  </si>
  <si>
    <t>larang pake hp pas  tp suruh beli bengsin pake aplikasi  konsep gimana nih</t>
  </si>
  <si>
    <t>percaya kalo bumi lonjong caca marshanda yupi holywings malam afc cup origi liga aice ganti jaksa artemis dago ajax qodari turu kamboja psm makassar puti kw   indra bekti dokter lisa</t>
  </si>
  <si>
    <t xml:space="preserve">wakil ketua dpr sufmi dasco ahmad  sosialisasi massif guna aplikasi  beli pertalite solar dasco kecuali atur masyarakat akses aplikasi </t>
  </si>
  <si>
    <t>aplikasi  syarat beli bbm subsidi jenis pertalite solar juli nyata pt  persero salur sasar cil inews pertalite solar bbm perintah aplikasi  pt</t>
  </si>
  <si>
    <t xml:space="preserve">bbrp spbu larang nyala hp isi bbm ujug muncul atur beli pertalite buka aplikasi  lhaa buka apps nya bikin atur silang gitu pertalite </t>
  </si>
  <si>
    <t>nyambung point no kalo daerah pencil yg demograsi masy nya masy hp aja gk yg mumpuni sesuai requirement   jd sulit</t>
  </si>
  <si>
    <t xml:space="preserve">kuy pake  </t>
  </si>
  <si>
    <t>juli beli pertalite hrs download   gak salah dipom bensin gak pakai hp gak org hp smartphone coba erti</t>
  </si>
  <si>
    <t>udah blm udah pake   tapiiiiiiiii ga dipake bikin males</t>
  </si>
  <si>
    <t>meuli minyak make aplikasi peduli lindung meuli pertalite jeung solar make   sieun engke pas cengek mahal mun meuli kudu make aplikasi  telkomsel</t>
  </si>
  <si>
    <t xml:space="preserve">  pertamax bright gas iktan gais kuis follow giveaway tebakanasik rjbt </t>
  </si>
  <si>
    <t>jgn sampe depan yg jual jasa kartu   biar akses beli pertalite</t>
  </si>
  <si>
    <t>ketua komisi aja bingung implementasi beli bensin pake kartu yg ngikutin dapat ngikutin bantu sosial kalo gak   pake kartu hadeh</t>
  </si>
  <si>
    <t>juli laku beli pertalite aflikasi   habis akal rugi melulu lantas jual aflikasinya besok lusa orang antri utk pertalite</t>
  </si>
  <si>
    <t xml:space="preserve">mana gue spbu buka sso  </t>
  </si>
  <si>
    <t>pattern scarf segi motif premium info produk harga beli klik link indra bekti   rezimsusahinrakyat dokter last anime first anime lontong akane fajri solar sore last ghibli qodari</t>
  </si>
  <si>
    <t>baca beli bbm subsidi pakai  pikir yg dapet subsidi masyarakat yg pakai handphone yg orang  pinter pikir kesitu</t>
  </si>
  <si>
    <t xml:space="preserve">  pertamax bright gas yuk ikut</t>
  </si>
  <si>
    <t>minyak peduli lindung   udh perintah bikin server database warga pdhal udh dr sensus ktp tmbah chip data tinggal scan jd mudah lokasi scan jd data hari data sehat</t>
  </si>
  <si>
    <t>tuju mbak emang pro kontra pakai   sosialisasi dalam lihat tanggal juli berita sih wilayah provinsi uji coba</t>
  </si>
  <si>
    <t>kaos rib premium lengan order now selasa indosat sore spbu indra bekti   qontol reply lontong dokter holywings dita</t>
  </si>
  <si>
    <t>template mba mba amp mas mas spbum kali gue bayar cashless   amp link aja offline kak</t>
  </si>
  <si>
    <t>pt  persero uji coba beli bbm subsidi aplikasi  milik kendara</t>
  </si>
  <si>
    <t>otw download   wkwkwkw kayak masuk kategori pertalite subsidi yakaannn</t>
  </si>
  <si>
    <t>capek startup akuisisi user pakek bakar duit cepat gratis pakai bijak kuasa lindung peduli   jg nyusul</t>
  </si>
  <si>
    <t xml:space="preserve">ngerepotin emang tuh pertalite pake aplikasi  </t>
  </si>
  <si>
    <t>spbu gaboleh main hp nunjukin   nya mana ya</t>
  </si>
  <si>
    <t>beban rakyat klu  rugi komisaris amp menteri ganti tanggung jwbkan depan hukum   fee yg ambil paksa rakyat tlg spy selamat rakyat yg susah</t>
  </si>
  <si>
    <t xml:space="preserve"> uji coba beli bahan bakar minyak bbm subsidi pertalite solar konsumen daftar sistem  jumat juli</t>
  </si>
  <si>
    <t>duku bayar pake   dibolehin pas telp wa aplikasi jenis disuru jauh</t>
  </si>
  <si>
    <t xml:space="preserve">juli beli  solar daftar aplikasi cek link daftar  </t>
  </si>
  <si>
    <t xml:space="preserve">beli wajib nunjukin udah download  </t>
  </si>
  <si>
    <t xml:space="preserve">oke pertelite pake  </t>
  </si>
  <si>
    <t xml:space="preserve">  pertamax bright gas giveaway tebakanasik rjbt  rumah perdu jendala kaca salam rindu baca salam sukses moga untung</t>
  </si>
  <si>
    <t xml:space="preserve">hp hasil gelombang elektromagnetik dlm hitung detik gelombang nya megaelektron volt peta elektronvolt ngisi bbm pakek  </t>
  </si>
  <si>
    <t>negara pimpin pdi gajelas ngadi ngadi aja isi pertalite pake aplikasi   pom bensin larang main hp</t>
  </si>
  <si>
    <t>mas isi bensin gapake   gasih ntar org aplikasi kaya ga gitu hem</t>
  </si>
  <si>
    <t>aplikasi   hrs sinkron dgn aplikasi link aja link aja saldo</t>
  </si>
  <si>
    <t>beli  solar pakai  mudah pasti gak ribet udah gitu manfaat loh</t>
  </si>
  <si>
    <t xml:space="preserve"> uji coba beli bbm  kota jabar</t>
  </si>
  <si>
    <t>btw   bayar nya pake link aja tunai</t>
  </si>
  <si>
    <t>server   nge hang trafic ny padet bareng</t>
  </si>
  <si>
    <t>barusan instal app  juli beli bbm jenis pertalite solar pakai aplikasi mohon info opsi bayar link aja nih gak pakai bayar pakai ya</t>
  </si>
  <si>
    <t xml:space="preserve"> udah uji coba nanganin costumer gimana</t>
  </si>
  <si>
    <t xml:space="preserve"> uji coba salur pertalite solar guna daftar  wilayah uji coba tahap cek infografis  solar pertalite beritasatu infografis</t>
  </si>
  <si>
    <t>blm daftar   ni daftar udh daftar coba reset pin sms nya kaga nyampe</t>
  </si>
  <si>
    <t>udah yg dapet potong beli  pertalite potong pas transaksi pakai   si bpk tugas nya bilang halah mbak kadar potong rupiah mbak</t>
  </si>
  <si>
    <t>bismilahirrohmanirohim jawab   pertamax bright gas tebakanasik yuk follow amp ikut moga untung aamin sukses</t>
  </si>
  <si>
    <t xml:space="preserve"> aplikasi  sepi nih campaign ah biar rame</t>
  </si>
  <si>
    <t>min nggak spbu kota bayar pakek   kalo nerapin ya tolong sedia spbu bayar   suka bayar pakek   bcs nggak ribet alhamdulillah nggak kena sial error</t>
  </si>
  <si>
    <t xml:space="preserve">  pertamax brightgas yuk ikut gaess</t>
  </si>
  <si>
    <t>media emang demen bikin ribut judul ga tulis tgl juli uji coba beli bbm pake   sekian spbu</t>
  </si>
  <si>
    <t>juli  uji coba beli pertalite solar  portalyogya pertalite</t>
  </si>
  <si>
    <t>tanggal juli beli bensin lupa install apps  pertamin yaa resmi pt  terus bangsa sebar orang dekat</t>
  </si>
  <si>
    <t xml:space="preserve">oyi ada teman teman yg aplikasi   bayar spbu spbu yg terima bayar pakai aplikasi  </t>
  </si>
  <si>
    <t>keren apa beli minyak goreng pakqi peduli lindung beli bbm pakai   keren dr mana dbikin susaha aja rakyat</t>
  </si>
  <si>
    <t xml:space="preserve">ada teman teman yg aplikasi   bayar spbu spbu yg terima bayar pakai aplikasi  </t>
  </si>
  <si>
    <t>emang tunjuannya sna yg kaya kaya yg miskin susah pake   sma aja ujung nya antri nya bi pertamax</t>
  </si>
  <si>
    <t>relate ampe ngomel call center  gara  erorr</t>
  </si>
  <si>
    <t>sore thr jam kirim shopeepaythr ayo ambil habis on trending   bogum ginting</t>
  </si>
  <si>
    <t>tdk sadar sindir presiden sia awi yg bangun jalan masyarakat dpersulit beli pertalit beli migor pakai aplikasi peduli lindung beli pertalite pakai   otak otak</t>
  </si>
  <si>
    <t>juli  laku uji coba layan beli pertalite solar guna daftar sistem   ekonomi validnews</t>
  </si>
  <si>
    <t xml:space="preserve">  bright gas pertamax ayo sobat ikut giveaway tebakanasik rjbt </t>
  </si>
  <si>
    <t xml:space="preserve"> uji coba salur pertalite solar batas gtvnews  pt transaksi pertalite solar bahanbakar bbm masyarakat ujicoba website  qrcode kendara</t>
  </si>
  <si>
    <t>patra niaga sebenernya beli bensin subsidi pake   ide yg ciamik abis moga kembang jd lg depan segi aplikasi teknis terap teknis terap discuss bareng bareng kode</t>
  </si>
  <si>
    <t>poster spbu ajak beli pake   sdm nya yg jalan atur pusat udah mesin edc</t>
  </si>
  <si>
    <t>taehyung holywing amp   kayak nya cinta blackpinkkpop ngomong indra bekti kalo kirim barang eksport ituhhhh gampang banget bantu sampe tuntassss reply</t>
  </si>
  <si>
    <t>alam pake   kalo kota sby alhamdulillah lancar yg kalo kota non tol</t>
  </si>
  <si>
    <t>alam pake   kalo kota sby alhamdulillah lancar yg kalo kota non tol arah jombang dr driyorejo sampe jombang kota spbu yg pake   dgn alas baik manajemen spbunya</t>
  </si>
  <si>
    <t>fresher  patra niaga sub holding commercial amp trading pt  persero juli uji coba salur pertalite solar guna hak daftar sistem  direktur ut</t>
  </si>
  <si>
    <t>om spbu  wifi gratis gak kalo   laku gak kuota internet gimana beli</t>
  </si>
  <si>
    <t>sambel telfonan ga beli bensin pake   akses   ga pake sinyal ya airplane mode gitu ya</t>
  </si>
  <si>
    <t xml:space="preserve">  itu aplikasi mobile ya trus ntar pakenya gimana baca qr code struk nya gitu ga pake smartphone lingkung spbu ntar spbu nya ledak gimana</t>
  </si>
  <si>
    <t xml:space="preserve">tanggal juli pt  persero lalu uji coba beli bahan bakar minyak bbm subsidi jenis pertalite solar aplikasi </t>
  </si>
  <si>
    <t>logika iya orang bawa pick up liatin aplikasi   dapetin pertalite solar</t>
  </si>
  <si>
    <t>hai teman agi udah daftar aplikasi   cuss daftar isi saldo link aja mu agi apps yah mari dukung bijak perintah salur bbm sasar bankarthagrahainternasional agibybankarthagrahainternasional</t>
  </si>
  <si>
    <t>bayar pakai  shell cashless pakai gopay mas nya baca ya</t>
  </si>
  <si>
    <t>instal   memori</t>
  </si>
  <si>
    <t>beli bensin pakai apk   scan pom gaboleh pakai handphone</t>
  </si>
  <si>
    <t>orang orang beneran hak dapet subsidi bbm banyak ga melek teknologi kayak aplikasi   bangsa</t>
  </si>
  <si>
    <t xml:space="preserve">pombensin larang hp syarat beli bbm pakai aplikasi   heran negeri wakanda </t>
  </si>
  <si>
    <t xml:space="preserve"> uji coba beli bbm pertalite solar aplikasi  jumat juli nih guys  pertalite solar bbm  jokowi bumn cekdulumedcom</t>
  </si>
  <si>
    <t xml:space="preserve">  pertamax bright gas skuy ikut giveaway tebakanasik rjbt </t>
  </si>
  <si>
    <t>pake   sistem ngelag ga responsif transaksi proses ga kaya shell yg udah nerapin cashless  lambat cashless mudah aja ga tumpu beli bahan bakar</t>
  </si>
  <si>
    <t>bikin susah beli minyak goreng hrs pakai peduli linding skrg tambah lg beli pertalite hrs pakai   lg yg hrs pakai</t>
  </si>
  <si>
    <t>kontol lu bikin  cuman buang duit nya gila aja lo dalam pake app  butuh internet</t>
  </si>
  <si>
    <t>juli beli bbm petalite solar wajib daftar  lho daftar</t>
  </si>
  <si>
    <t>beli minyak goreng pakai aplikasi peduli lindung beli bensin pakai aplikasi   negeri perlahan bergese</t>
  </si>
  <si>
    <t xml:space="preserve">beli minyak goreng curah pakai nik peduli lindung nbeli pertalite solar subsidi pakai aplikasi </t>
  </si>
  <si>
    <t>aplikasi   bikin susah masyarakat aja ribet susah tambah susah masyarakat yg</t>
  </si>
  <si>
    <t xml:space="preserve">  kontol</t>
  </si>
  <si>
    <t xml:space="preserve">mana bawa hp yah nmasuk mall gedung pakai peduli lindung nbeli bensin depan pakai  </t>
  </si>
  <si>
    <t>biar sense of belongingnya dapet mending apps   ganti nama ku</t>
  </si>
  <si>
    <t>tata laksana beli bbm aplikasi   bahaya njuga ribet nmungkin</t>
  </si>
  <si>
    <t xml:space="preserve">pom gaboleh main hp suruh download  </t>
  </si>
  <si>
    <t>pake   pom bensin megang hp</t>
  </si>
  <si>
    <t>pt  laku uji coba beli pertalite solar  juli me</t>
  </si>
  <si>
    <t>ngene lho nder kowe butuh   iki nggo daftar tok ngko qrcode nqrcode iku iso didonlot</t>
  </si>
  <si>
    <t>yaiyasi   bikin mudah yg suka cashless kayak gue org pikirin gaksi ojol yg</t>
  </si>
  <si>
    <t>beli pertalite musti pake aplikasi   warga dki nyantae aja gk panik bang anies sol</t>
  </si>
  <si>
    <t>tega rezim rakyat desa ga kenal app   app peduli lindung jel</t>
  </si>
  <si>
    <t>aneeh sekaliiiii sblm atur   larang hp spbu skrg bilang aman negar</t>
  </si>
  <si>
    <t>yg beli pertalite pake aplikasi   gilir daftar apk</t>
  </si>
  <si>
    <t>kukaha sih manehteh ongkoh tenang maen hp mun ker ngisi bensin jol aya atur kudu make   gablag</t>
  </si>
  <si>
    <t xml:space="preserve">daftar beli pertalite solar  dokumen aplikasi </t>
  </si>
  <si>
    <t>udah cape kali  coba bbm sasar sampe app  beli bensin yg bersu</t>
  </si>
  <si>
    <t xml:space="preserve">larang hp isi bbm spbu bayar pakai aplikasi  </t>
  </si>
  <si>
    <t xml:space="preserve">rokok ya area spbu jarak meter dispenser isi </t>
  </si>
  <si>
    <t>pt  laku aplikasi  beli bbm subsidi bbm subsidi</t>
  </si>
  <si>
    <t>ntar beli pertalite pake   beli pertamax pake peduli lindung</t>
  </si>
  <si>
    <t>beli pertalite pake   si udh puncak komedi</t>
  </si>
  <si>
    <t xml:space="preserve"> keluar bijak wajib daftar  beli pertalite solar juli simak</t>
  </si>
  <si>
    <t xml:space="preserve">buka aplikasi  </t>
  </si>
  <si>
    <t>bpjs sj sulit bikin   hdehhh</t>
  </si>
  <si>
    <t xml:space="preserve">download laku daftar nih aplikasi </t>
  </si>
  <si>
    <t>solar pertalite hrs isi data foto mobil stnk   dgn ka</t>
  </si>
  <si>
    <t>abis download  trus gimana yaa</t>
  </si>
  <si>
    <t xml:space="preserve">yo kudune neng biasane tuku bengsin nggo duit iki meng nggo  </t>
  </si>
  <si>
    <t>aman pakai hp spbu naplikasi  syarat beli bahan bakar minyak bbm bersubs</t>
  </si>
  <si>
    <t xml:space="preserve">  ambil langkah dukung pres no kait salur bbm</t>
  </si>
  <si>
    <t>beli bbm subsidi app   deteksi beli konsumen seh</t>
  </si>
  <si>
    <t xml:space="preserve"> bantu  atur beli bbm subsidi hak</t>
  </si>
  <si>
    <t xml:space="preserve">masyarakat daftar mudah aplikasi digital </t>
  </si>
  <si>
    <t>alas  atur beli bbm subsidi aplikasi  bawah nnah unt</t>
  </si>
  <si>
    <t xml:space="preserve">nek meh tuku bensin apk peduli lindung hapus sek ben isoh download  </t>
  </si>
  <si>
    <t>meuli minyak make aplikasi peduli lindung meuli pertalite jeung solar make   nsieun engke pas cengek maha</t>
  </si>
  <si>
    <t xml:space="preserve">  njangan nmenyimpan bom ningatlah hp sinyal nbisa picu ledak</t>
  </si>
  <si>
    <t xml:space="preserve">  njangan nmenyimpan bom ningatlah hp sinyal nbisa picu</t>
  </si>
  <si>
    <t>beli minyak goreng pakai aplikasi peduli lindung beli bensin pakai aplikasi   negeri perlahan ber</t>
  </si>
  <si>
    <t xml:space="preserve">aplikasi   tangkal radiasi kalo aplikasi blm nbismillah dapet transfer nyasar </t>
  </si>
  <si>
    <t>kayak tetep daftar   beli non subsidi</t>
  </si>
  <si>
    <t>tuju si app  wajib ngisinya pke mobil subsidi bocor orang yg mobil</t>
  </si>
  <si>
    <t>pake   hhhhh bekas aja bayar pake kartu offline edcnya wkwk</t>
  </si>
  <si>
    <t>mimpi kemaren malem beli pertalite pom pake   nkategori nightmare</t>
  </si>
  <si>
    <t>pakai   diskon gak nih guna pakai  bayar pakai tunai aj</t>
  </si>
  <si>
    <t>juli daerah aplikasi   beli pertalite solar selam</t>
  </si>
  <si>
    <t>skalian urus beli pertalite pakai aplikasi   gimana cerita</t>
  </si>
  <si>
    <t>aplikasi  mudah mengon</t>
  </si>
  <si>
    <t xml:space="preserve">ketat beli bbm pertalite solar  beli bbm wajib pakai </t>
  </si>
  <si>
    <t>beli minyak pake peduli lindung beli bensin pake   udang bakwan</t>
  </si>
  <si>
    <t xml:space="preserve"> keluar bijak wajib daftar  beli pertalite solar juli sima</t>
  </si>
  <si>
    <t>install   arah sistem bayar iso saldo linkaja</t>
  </si>
  <si>
    <t>sebenernya   puncak keribetannya kalo udah masuk   top up pake app link aja</t>
  </si>
  <si>
    <t>sistem  bantu  cocok data guna</t>
  </si>
  <si>
    <t>abis download bikin akun   link aja keren sih pas isi jam margonda blm</t>
  </si>
  <si>
    <t>gara aplikasi   gak laku wkwkwk</t>
  </si>
  <si>
    <t>tolak guna   oknum operator spbu dgn alas mudah jaring</t>
  </si>
  <si>
    <t>lansir   boleh public area convenience store foodcourt kantor</t>
  </si>
  <si>
    <t>yg video contoh aplikasi   motor</t>
  </si>
  <si>
    <t xml:space="preserve">mari daftar aplikasi digital  website </t>
  </si>
  <si>
    <t>atur pakai   nunjukin hp spbu nsementara larang spbu hidup hp rak</t>
  </si>
  <si>
    <t>daftar  beli pertalite solar subsidi kendara roda</t>
  </si>
  <si>
    <t>beli pertalite pake aplikasi  spbu larang hp maha coba aya tanggap ti dulur</t>
  </si>
  <si>
    <t>beli bbm subsidi hrs daftar   nya kontrol kendali amp</t>
  </si>
  <si>
    <t>beli bbm make apk  nlah ituh apk nempelinnyah jidat ya ncuman endonesa nyang apah serba bikin</t>
  </si>
  <si>
    <t xml:space="preserve">  yg tuh banyak sdmnya kaya bom make aplikasi langgan emang</t>
  </si>
  <si>
    <t>krna   gak pake hp tp pake sendal jepit motor</t>
  </si>
  <si>
    <t>sehat sampe paksa rakyat yg gaptek pake app  isi tali</t>
  </si>
  <si>
    <t>naikin traffic rate app   biar tim product nya gak ngerasa gagal</t>
  </si>
  <si>
    <t>beli bensin wajib install aplikasi install   install link aja biaya admin rp top up sald</t>
  </si>
  <si>
    <t xml:space="preserve">nti beli pertalite kudu  </t>
  </si>
  <si>
    <t>beli pertalite pakai aplikasi   uji coba guna bbm subsidi sesuai targ</t>
  </si>
  <si>
    <t>daftar  beli pertalite juli  bbm  lampungpost</t>
  </si>
  <si>
    <t>sdh dojawab  pertamini eh   bang kalo mledug</t>
  </si>
  <si>
    <t xml:space="preserve">provinsi terap beli  solar via </t>
  </si>
  <si>
    <t>nikmat pertalite solar wajib daftar  juli kabarotocom  pertalite</t>
  </si>
  <si>
    <t>provinsi lokasi uji coba beli pertalite solar via   aplikasi</t>
  </si>
  <si>
    <t>larang main handpone isi bengsin suruh download   sibangsattt</t>
  </si>
  <si>
    <t>gak yg biaya biaya top up saldo mbanking saldo link ajah si  perta</t>
  </si>
  <si>
    <t>pantau pakai   masuk jual audit ma</t>
  </si>
  <si>
    <t xml:space="preserve"> uji coba beli bahan bakar minyak bbm jenis pertalite solar pakai   nhttps</t>
  </si>
  <si>
    <t xml:space="preserve"> bright gas pertamax tebakanasik rjbt </t>
  </si>
  <si>
    <t>beli minyak hrs apk peduli lindung beli pertalite pk apk   per ribet</t>
  </si>
  <si>
    <t xml:space="preserve">pt  persero imbau masyarakat daftar beli bbm jenis pertalite aplikasi </t>
  </si>
  <si>
    <t>noh spbu nya gak ain   emang kaga briefing ya untung gue bawa duit cash lu</t>
  </si>
  <si>
    <t>bossman aplikasi   pakai teknologi canggih mengg</t>
  </si>
  <si>
    <t>masyarakat wajib daftar aplikasi  beli pertalite solar juli</t>
  </si>
  <si>
    <t>hola masyarakat indonesia maju sejahtera nada riweuh riweuh sm aplikasi  nmending cek fakta ya</t>
  </si>
  <si>
    <t xml:space="preserve">  aneh deh pom bensin suruh buka hp</t>
  </si>
  <si>
    <t>ketat beli bbm pertalite solar  beli bbm wajib pakai pertamin</t>
  </si>
  <si>
    <t>anak jogja nih nudh pake apk   haha</t>
  </si>
  <si>
    <t>masyarakat wajib daftar aplikasi  beli pertalite solar</t>
  </si>
  <si>
    <t xml:space="preserve">atur beli bbm pertalite solar aplikasi   pertalite </t>
  </si>
  <si>
    <t>guna   link aja ncoba evaluasi server hujan drop</t>
  </si>
  <si>
    <t>bossman aplikasi   pakai teknologi canggih tida</t>
  </si>
  <si>
    <t xml:space="preserve">gak yg biaya biaya top up saldo mbanking saldo link ajah si </t>
  </si>
  <si>
    <t>sepakat sih beli bbm awas kontrol   solusi pasti menggu</t>
  </si>
  <si>
    <t xml:space="preserve">juli beli bbm pertalite solar milik qr code daftar </t>
  </si>
  <si>
    <t>tolak usul beli pertalite pakai   bikin susah sengsara rakyat rakya</t>
  </si>
  <si>
    <t xml:space="preserve"> jalan uji coba salur bbm subsidi sasar aplikasi  mana masya</t>
  </si>
  <si>
    <t>juli masyarakat laku pendaftaraan aplikasi   jalan</t>
  </si>
  <si>
    <t xml:space="preserve"> resmi luncur aplikasi  atur masyarakat hak pertalite solar un</t>
  </si>
  <si>
    <t xml:space="preserve"> inovasi  tuju atur beli bbm subsidi uji coba</t>
  </si>
  <si>
    <t>habis downlod   trus beli pertalite hp nya dinyalain ga ng no nb nl no ng</t>
  </si>
  <si>
    <t>gua udah uji coba bayar bensin pake   amp link aja so far enak pakai gaenak nya</t>
  </si>
  <si>
    <t xml:space="preserve"> ketat beli pertalite solar beli bbm </t>
  </si>
  <si>
    <t>udah nge gas kayak gin malu gak sih kalo tau guna aplikadi   juli tahap</t>
  </si>
  <si>
    <t>daftar hp   daftar jenis kendara kerja lulu</t>
  </si>
  <si>
    <t>jgn heboh ygy beli bbm via   jalan uji coba penyalu</t>
  </si>
  <si>
    <t>gak maaf kak nsudah layak kasar nhallo  apakabar ns</t>
  </si>
  <si>
    <t xml:space="preserve">tur kendara pake sepatu aja udah aneh turut beli bbm pake app  </t>
  </si>
  <si>
    <t>duh netizen heboh nih dgn aplikasi  salur bbm subsidi sasara</t>
  </si>
  <si>
    <t xml:space="preserve"> syarat beli pertalite solar buru daftar  aplikasi bbmsubsidi</t>
  </si>
  <si>
    <t>beli bbm make apk  nlah ituh apk nempelinnyah jidat ya ncuman endonesa nyang apah ser</t>
  </si>
  <si>
    <t xml:space="preserve">corporate secretary  patra niaga irto ginting masyarakat wajib milik aplikasi </t>
  </si>
  <si>
    <t>balik pro and cons   naku yg dr bbrp pake app karna mls bawa cash be like</t>
  </si>
  <si>
    <t>beli pertalite pake aplikasi  spbu larang hp maha coba aya tanggap</t>
  </si>
  <si>
    <t xml:space="preserve">  pertamax bright gas giveaway tebakanasik rjbt</t>
  </si>
  <si>
    <t>gatau gak pake   sih  rugi karna udah bikin apps</t>
  </si>
  <si>
    <t>bayar pakai  shell cashless pakai gopay nmas nya baca ya nhttps</t>
  </si>
  <si>
    <t>pom tulis larang meng aplikasi hp ya petralite menggunkana aplikasi  tam</t>
  </si>
  <si>
    <t>tega rezim rakyat desa ga kenal app   app peduli lindung</t>
  </si>
  <si>
    <t>tolak guna   oknum operator spbu dgn alas mudah bahw</t>
  </si>
  <si>
    <t xml:space="preserve">peluang bisnis nnongkrong pom bensin buka jasa input aplikasi  </t>
  </si>
  <si>
    <t>abis download bikin akun   link aja keren sih pas isi jam margonda</t>
  </si>
  <si>
    <t xml:space="preserve"> uji coba pake  beli pertalite solar yg beli subsidi orang ga hp</t>
  </si>
  <si>
    <t>tolong opung laku guna aplikasi   beli bbm tanda larang maen hp</t>
  </si>
  <si>
    <t>orang heboh  skrg meanwhile suami dah pake banget dapet cash</t>
  </si>
  <si>
    <t xml:space="preserve">langkah  bbm subsidi sasar ayo daftar data </t>
  </si>
  <si>
    <t>pt  ter gugat iii tanah pemilil masyarakat yg haa kontrak</t>
  </si>
  <si>
    <t xml:space="preserve">pakai apps klo beli bbm aus ga dpt subsidi pakai </t>
  </si>
  <si>
    <t>gpp sih klo suruh pake   tp gaji warga naikin smua ya biar beli hp kuota</t>
  </si>
  <si>
    <t>aneeh sekaliiiii sblm atur   larang hp spbu skrg bilang aman</t>
  </si>
  <si>
    <t>fakta guna  beli bbm pihak  masyarakat terutam</t>
  </si>
  <si>
    <t>rakyat gk download aplikasi   si empunya aplikasi dapet duit quota milik</t>
  </si>
  <si>
    <t>beli pertalite musti pake aplikasi   warga dki nyantae aja gk panik bang anies berika</t>
  </si>
  <si>
    <t xml:space="preserve">  pertamax bright gas nyuk ikut</t>
  </si>
  <si>
    <t>ya pantes masyarakat ngamuk org yg suruh pake  yg pake solar ama pertalite nmau bain tp emang kur</t>
  </si>
  <si>
    <t>bijak beli bensin aplikasi  pancing reaksi orang uji coba ta</t>
  </si>
  <si>
    <t>perintah bikin app mending satuin aja peduli lindung   dll biar gak menu</t>
  </si>
  <si>
    <t>beli minyak goreng peduli lindung nmau beli bensin aplikasi   ok aja</t>
  </si>
  <si>
    <t xml:space="preserve"> untung beli mesti donlot  bayang miliar hasil bulan don</t>
  </si>
  <si>
    <t xml:space="preserve"> indikasi tdk milik data akurat ttg guna bbm subsidi guna aplikasi pertam</t>
  </si>
  <si>
    <t>dirut  sih lawan politik sampe hati nyerang pake isu  nudah beliau loh gak minat</t>
  </si>
  <si>
    <t>npadahal udah pake aplikasi  udah thn napa ga kado gitu yg ula</t>
  </si>
  <si>
    <t xml:space="preserve"> bright gas pertamax tebakanasik giveaway rjbt  nayo</t>
  </si>
  <si>
    <t>gapernah pake   tau udah daftar pas reset password udah profil nang</t>
  </si>
  <si>
    <t>rek nek ape tumbas bensin iku kudu nduwe apk   didelokno nng mas spbu nek ngisi be</t>
  </si>
  <si>
    <t>pakai pedulilindungi pergi pakai   beli minyak nik sok arep ngising nggo bokeryok nbtw ka</t>
  </si>
  <si>
    <t xml:space="preserve">infografis daftar aplikasi  lengkap seputarinews rcti infografis </t>
  </si>
  <si>
    <t>kalo emang cilik beli pertalite musti pake aplikasi   ya  musti nyediakan jari</t>
  </si>
  <si>
    <t xml:space="preserve"> wajib beli bbm jenis pertalite solar subsidi daftar  juli beg</t>
  </si>
  <si>
    <t>asyiiik untung ntapi untung  klo guna  nungggu</t>
  </si>
  <si>
    <t>habis uninstall ndoro gara gak spbu tawar mesti  perta</t>
  </si>
  <si>
    <t>rencana  utk batas beli bbm subsidi jenis pertalite solar dgn aplikasi  mengund</t>
  </si>
  <si>
    <t>alas  aplikasi  beli bbm salur bbm subsidi</t>
  </si>
  <si>
    <t>yup tuju  kasi info detail mekanisme guna qr perta</t>
  </si>
  <si>
    <t>main hp larang isi bbm nini wacana beli bbm subsidi pake aplikasi   napa</t>
  </si>
  <si>
    <t>aplikasi  aktif fitur metode bayar sambung akun wallet</t>
  </si>
  <si>
    <t>aplikasi  yg kontra ad yg pro kekny guna deh anda fitur batas pemb</t>
  </si>
  <si>
    <t xml:space="preserve">  aplikasi link bisnis subsidi bio solar beli cpo bisnis uang</t>
  </si>
  <si>
    <t xml:space="preserve">  dah mending urusin tuh orang yg ngisi bensin bawa dirigen langsung nyerobot ked</t>
  </si>
  <si>
    <t>dati aplikasi   yg susah rakyat lbh bikin atur pertalite sepeda mot</t>
  </si>
  <si>
    <t>aplikasi   lbh naik aja pertalite solar dg jsrak harga yg tdk</t>
  </si>
  <si>
    <t>isi bbm duit ribu masuk spbu beli pulsa data ribu   ngisi pertalite rb aja</t>
  </si>
  <si>
    <t>guna aplikasi   akn bikin cilik susah subsidi tdk sasar jt spd motor</t>
  </si>
  <si>
    <t xml:space="preserve"> kntl bangsattttt ga sudi download   lu mikir jual bakpao coklat emang</t>
  </si>
  <si>
    <t>install   khususon guna pertalite nitu bikin bijak gitu tau blm sih guna perta</t>
  </si>
  <si>
    <t>app mobile   untuk masyarakat efisien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</si>
</sst>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rgb="FF000000"/>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6739"/>
  <sheetViews>
    <sheetView tabSelected="1" workbookViewId="0">
      <selection sqref="A1:XFD1048576"/>
    </sheetView>
  </sheetViews>
  <sheetFormatPr defaultColWidth="12.5703125" defaultRowHeight="15.75" customHeight="1" x14ac:dyDescent="0.2"/>
  <cols>
    <col min="1" max="16384" width="12.5703125" style="1"/>
  </cols>
  <sheetData>
    <row r="1" spans="1:2" x14ac:dyDescent="0.2">
      <c r="A1" s="1" t="s">
        <v>0</v>
      </c>
      <c r="B1" s="1" t="s">
        <v>1</v>
      </c>
    </row>
    <row r="2" spans="1:2" x14ac:dyDescent="0.2">
      <c r="A2" s="1" t="s">
        <v>2</v>
      </c>
      <c r="B2" s="1" t="str">
        <f ca="1">IFERROR(__xludf.DUMFUNCTION("GOOGLETRANSLATE(A2,""id"",""en"")"),"Alun Al Kahfi Night Moga Allah Rahmat Jalan Bakri Putin Thank you June")</f>
        <v>Alun Al Kahfi Night Moga Allah Rahmat Jalan Bakri Putin Thank you June</v>
      </c>
    </row>
    <row r="3" spans="1:2" x14ac:dyDescent="0.2">
      <c r="A3" s="1" t="s">
        <v>2363</v>
      </c>
      <c r="B3" s="1" t="str">
        <f ca="1">IFERROR(__xludf.DUMFUNCTION("GOOGLETRANSLATE(A6,""id"",""en"")"),"buy gasoline already using  apk")</f>
        <v>buy gasoline already using  apk</v>
      </c>
    </row>
    <row r="4" spans="1:2" x14ac:dyDescent="0.2">
      <c r="A4" s="1" t="s">
        <v>2364</v>
      </c>
      <c r="B4" s="1" t="str">
        <f ca="1">IFERROR(__xludf.DUMFUNCTION("GOOGLETRANSLATE(A7,""id"",""en"")"),"Residents of the City of Tasikmalaya Choose Buy BBM SPBU neighboring trials to buy fuel using perta")</f>
        <v>Residents of the City of Tasikmalaya Choose Buy BBM SPBU neighboring trials to buy fuel using perta</v>
      </c>
    </row>
    <row r="5" spans="1:2" x14ac:dyDescent="0.2">
      <c r="A5" s="1" t="s">
        <v>2365</v>
      </c>
      <c r="B5" s="1" t="str">
        <f ca="1">IFERROR(__xludf.DUMFUNCTION("GOOGLETRANSLATE(A8,""id"",""en"")"),"Tuku BBM Subsidized Sing Kudu Nganggo The  Application")</f>
        <v>Tuku BBM Subsidized Sing Kudu Nganggo The  Application</v>
      </c>
    </row>
    <row r="6" spans="1:2" x14ac:dyDescent="0.2">
      <c r="A6" s="1" t="s">
        <v>2366</v>
      </c>
      <c r="B6" s="1" t="str">
        <f ca="1">IFERROR(__xludf.DUMFUNCTION("GOOGLETRANSLATE(A9,""id"",""en"")"),"list of subsidies but not saving data kendara you edit or not what is  sunbsiditaspeas ")</f>
        <v xml:space="preserve">list of subsidies but not saving data kendara you edit or not what is  sunbsiditaspeas </v>
      </c>
    </row>
    <row r="7" spans="1:2" x14ac:dyDescent="0.2">
      <c r="A7" s="1" t="s">
        <v>3</v>
      </c>
      <c r="B7" s="1" t="str">
        <f ca="1">IFERROR(__xludf.DUMFUNCTION("GOOGLETRANSLATE(A12,""id"",""en"")"),"Effective Solutions to Press the burden of State Money Salur Salur Subsidy Salang Salah Retroading")</f>
        <v>Effective Solutions to Press the burden of State Money Salur Salur Subsidy Salang Salah Retroading</v>
      </c>
    </row>
    <row r="8" spans="1:2" x14ac:dyDescent="0.2">
      <c r="A8" s="1" t="s">
        <v>2367</v>
      </c>
      <c r="B8" s="1" t="str">
        <f ca="1">IFERROR(__xludf.DUMFUNCTION("GOOGLETRANSLATE(A13,""id"",""en"")"),"Gin Mulu Dahh ")</f>
        <v xml:space="preserve">Gin Mulu Dahh </v>
      </c>
    </row>
    <row r="9" spans="1:2" x14ac:dyDescent="0.2">
      <c r="A9" s="1" t="s">
        <v>2368</v>
      </c>
      <c r="B9" s="1" t="str">
        <f ca="1">IFERROR(__xludf.DUMFUNCTION("GOOGLETRANSLATE(A14,""id"",""en"")"),"for  the requirement for buying fuel fuel fuel subsidized pertalite da")</f>
        <v>for  the requirement for buying fuel fuel fuel subsidized pertalite da</v>
      </c>
    </row>
    <row r="10" spans="1:2" x14ac:dyDescent="0.2">
      <c r="A10" s="1" t="s">
        <v>2369</v>
      </c>
      <c r="B10" s="1" t="str">
        <f ca="1">IFERROR(__xludf.DUMFUNCTION("GOOGLETRANSLATE(A15,""id"",""en"")"),"queuing up the Ternate  Ggegara entered the city of trial many residents reject the Angko driver")</f>
        <v>queuing up the Ternate  Ggegara entered the city of trial many residents reject the Angko driver</v>
      </c>
    </row>
    <row r="11" spans="1:2" x14ac:dyDescent="0.2">
      <c r="A11" s="1" t="s">
        <v>2370</v>
      </c>
      <c r="B11" s="1" t="str">
        <f ca="1">IFERROR(__xludf.DUMFUNCTION("GOOGLETRANSLATE(A16,""id"",""en"")"),"Buy Pertalite amp Solar Using  Buy Gas Tubes Kg Amp Migor Bulk Using Pedulilat Protected Eh Turning Pem")</f>
        <v>Buy Pertalite amp Solar Using  Buy Gas Tubes Kg Amp Migor Bulk Using Pedulilat Protected Eh Turning Pem</v>
      </c>
    </row>
    <row r="12" spans="1:2" x14ac:dyDescent="0.2">
      <c r="A12" s="1" t="s">
        <v>2371</v>
      </c>
      <c r="B12" s="1" t="str">
        <f ca="1">IFERROR(__xludf.DUMFUNCTION("GOOGLETRANSLATE(A17,""id"",""en"")"),"Skeptic like a good behavior of ")</f>
        <v xml:space="preserve">Skeptic like a good behavior of </v>
      </c>
    </row>
    <row r="13" spans="1:2" x14ac:dyDescent="0.2">
      <c r="A13" s="1" t="s">
        <v>2372</v>
      </c>
      <c r="B13" s="1" t="str">
        <f ca="1">IFERROR(__xludf.DUMFUNCTION("GOOGLETRANSLATE(A18,""id"",""en"")")," Benefits Benefits of Control Subsidy BBM PERTALITE APPLICATION ")</f>
        <v xml:space="preserve"> Benefits Benefits of Control Subsidy BBM PERTALITE APPLICATION </v>
      </c>
    </row>
    <row r="14" spans="1:2" x14ac:dyDescent="0.2">
      <c r="A14" s="1" t="s">
        <v>2373</v>
      </c>
      <c r="B14" s="1" t="str">
        <f ca="1">IFERROR(__xludf.DUMFUNCTION("GOOGLETRANSLATE(A19,""id"",""en"")"),"Pertalite Buy Lpg Kg List ")</f>
        <v xml:space="preserve">Pertalite Buy Lpg Kg List </v>
      </c>
    </row>
    <row r="15" spans="1:2" x14ac:dyDescent="0.2">
      <c r="A15" s="1" t="s">
        <v>2374</v>
      </c>
      <c r="B15" s="1" t="str">
        <f ca="1">IFERROR(__xludf.DUMFUNCTION("GOOGLETRANSLATE(A20,""id"",""en"")")," pertalite kocak hmmm apk ga")</f>
        <v xml:space="preserve"> pertalite kocak hmmm apk ga</v>
      </c>
    </row>
    <row r="16" spans="1:2" x14ac:dyDescent="0.2">
      <c r="A16" s="1" t="s">
        <v>4</v>
      </c>
      <c r="B16" s="1" t="str">
        <f ca="1">IFERROR(__xludf.DUMFUNCTION("GOOGLETRANSLATE(A21,""id"",""en"")"),"Let's Support Wise Wise Orders Wrong Control BBM Subsidy Subsidies")</f>
        <v>Let's Support Wise Wise Orders Wrong Control BBM Subsidy Subsidies</v>
      </c>
    </row>
    <row r="17" spans="1:2" x14ac:dyDescent="0.2">
      <c r="A17" s="1" t="s">
        <v>2375</v>
      </c>
      <c r="B17" s="1" t="str">
        <f ca="1">IFERROR(__xludf.DUMFUNCTION("GOOGLETRANSLATE(A22,""id"",""en"")")," Trial Laku  HP Hps Solution")</f>
        <v xml:space="preserve"> Trial Laku  HP Hps Solution</v>
      </c>
    </row>
    <row r="18" spans="1:2" x14ac:dyDescent="0.2">
      <c r="A18" s="1" t="s">
        <v>2376</v>
      </c>
      <c r="B18" s="1" t="str">
        <f ca="1">IFERROR(__xludf.DUMFUNCTION("GOOGLETRANSLATE(A23,""id"",""en"")"),"stamp hard  ugly review google play")</f>
        <v>stamp hard  ugly review google play</v>
      </c>
    </row>
    <row r="19" spans="1:2" x14ac:dyDescent="0.2">
      <c r="A19" s="1" t="s">
        <v>2377</v>
      </c>
      <c r="B19" s="1" t="str">
        <f ca="1">IFERROR(__xludf.DUMFUNCTION("GOOGLETRANSLATE(A24,""id"",""en"")"),"The behavior of  is the benefit of controlling subsidized fuel commands for the fuel fuel subsidy")</f>
        <v>The behavior of  is the benefit of controlling subsidized fuel commands for the fuel fuel subsidy</v>
      </c>
    </row>
    <row r="20" spans="1:2" x14ac:dyDescent="0.2">
      <c r="A20" s="1" t="s">
        <v>2378</v>
      </c>
      <c r="B20" s="1" t="str">
        <f ca="1">IFERROR(__xludf.DUMFUNCTION("GOOGLETRANSLATE(A25,""id"",""en"")"),"  SPBU SAFE SELL Call Phone")</f>
        <v xml:space="preserve">  SPBU SAFE SELL Call Phone</v>
      </c>
    </row>
    <row r="21" spans="1:2" x14ac:dyDescent="0.2">
      <c r="A21" s="1" t="s">
        <v>2379</v>
      </c>
      <c r="B21" s="1" t="str">
        <f ca="1">IFERROR(__xludf.DUMFUNCTION("GOOGLETRANSLATE(A27,""id"",""en"")")," behavior benefits for controlling subsidies of BBM orders type pertalite sasar")</f>
        <v xml:space="preserve"> behavior benefits for controlling subsidies of BBM orders type pertalite sasar</v>
      </c>
    </row>
    <row r="22" spans="1:2" x14ac:dyDescent="0.2">
      <c r="A22" s="1" t="s">
        <v>2380</v>
      </c>
      <c r="B22" s="1" t="str">
        <f ca="1">IFERROR(__xludf.DUMFUNCTION("GOOGLETRANSLATE(A28,""id"",""en"")"),"Download the  application, try cool to sell  the benefits of subs control")</f>
        <v>Download the  application, try cool to sell  the benefits of subs control</v>
      </c>
    </row>
    <row r="23" spans="1:2" x14ac:dyDescent="0.2">
      <c r="A23" s="1" t="s">
        <v>2381</v>
      </c>
      <c r="B23" s="1" t="str">
        <f ca="1">IFERROR(__xludf.DUMFUNCTION("GOOGLETRANSLATE(A29,""id"",""en"")"),"Wait for trending ")</f>
        <v xml:space="preserve">Wait for trending </v>
      </c>
    </row>
    <row r="24" spans="1:2" x14ac:dyDescent="0.2">
      <c r="A24" s="1" t="s">
        <v>2382</v>
      </c>
      <c r="B24" s="1" t="str">
        <f ca="1">IFERROR(__xludf.DUMFUNCTION("GOOGLETRANSLATE(A30,""id"",""en"")"),"Open the list of  buy pertalite")</f>
        <v>Open the list of  buy pertalite</v>
      </c>
    </row>
    <row r="25" spans="1:2" x14ac:dyDescent="0.2">
      <c r="A25" s="1" t="s">
        <v>2383</v>
      </c>
      <c r="B25" s="1" t="str">
        <f ca="1">IFERROR(__xludf.DUMFUNCTION("GOOGLETRANSLATE(A31,""id"",""en"")"),"Use the  BBM application subsidized Salang Data Verification List DIC")</f>
        <v>Use the  BBM application subsidized Salang Data Verification List DIC</v>
      </c>
    </row>
    <row r="26" spans="1:2" x14ac:dyDescent="0.2">
      <c r="A26" s="1" t="s">
        <v>5</v>
      </c>
      <c r="B26" s="1" t="str">
        <f ca="1">IFERROR(__xludf.DUMFUNCTION("GOOGLETRANSLATE(A32,""id"",""en"")"),"BBM Subdisified Solar Pertalite Salar Setting Regulations Set President No.")</f>
        <v>BBM Subdisified Solar Pertalite Salar Setting Regulations Set President No.</v>
      </c>
    </row>
    <row r="27" spans="1:2" x14ac:dyDescent="0.2">
      <c r="A27" s="1" t="s">
        <v>2384</v>
      </c>
      <c r="B27" s="1" t="str">
        <f ca="1">IFERROR(__xludf.DUMFUNCTION("GOOGLETRANSLATE(A33,""id"",""en"")"),"Bandung City Government Kendara Motor uses the  application to buy Pertalite")</f>
        <v>Bandung City Government Kendara Motor uses the  application to buy Pertalite</v>
      </c>
    </row>
    <row r="28" spans="1:2" x14ac:dyDescent="0.2">
      <c r="A28" s="1" t="s">
        <v>2385</v>
      </c>
      <c r="B28" s="1" t="str">
        <f ca="1">IFERROR(__xludf.DUMFUNCTION("GOOGLETRANSLATE(A34,""id"",""en"")")," Benefits Benefits of Control Subsidy  Ken Pertalite Orders")</f>
        <v xml:space="preserve"> Benefits Benefits of Control Subsidy  Ken Pertalite Orders</v>
      </c>
    </row>
    <row r="29" spans="1:2" x14ac:dyDescent="0.2">
      <c r="A29" s="1" t="s">
        <v>2386</v>
      </c>
      <c r="B29" s="1" t="str">
        <f ca="1">IFERROR(__xludf.DUMFUNCTION("GOOGLETRANSLATE(A35,""id"",""en"")"),"List of  Buy Gasoline Subsidies")</f>
        <v>List of  Buy Gasoline Subsidies</v>
      </c>
    </row>
    <row r="30" spans="1:2" x14ac:dyDescent="0.2">
      <c r="A30" s="1" t="s">
        <v>2387</v>
      </c>
      <c r="B30" s="1" t="str">
        <f ca="1">IFERROR(__xludf.DUMFUNCTION("GOOGLETRANSLATE(A36,""id"",""en"")"),"Record the BBM Limits of Pertalite Solar List    Pertalite Solar")</f>
        <v>Record the BBM Limits of Pertalite Solar List    Pertalite Solar</v>
      </c>
    </row>
    <row r="31" spans="1:2" x14ac:dyDescent="0.2">
      <c r="A31" s="1" t="s">
        <v>2388</v>
      </c>
      <c r="B31" s="1" t="str">
        <f ca="1">IFERROR(__xludf.DUMFUNCTION("GOOGLETRANSLATE(A38,""id"",""en"")"),"Nyuwun Cheap Oil Kalih Mister Putin Wkwk Ben Mboten Ngangge  Gaje")</f>
        <v>Nyuwun Cheap Oil Kalih Mister Putin Wkwk Ben Mboten Ngangge  Gaje</v>
      </c>
    </row>
    <row r="32" spans="1:2" x14ac:dyDescent="0.2">
      <c r="A32" s="1" t="s">
        <v>2389</v>
      </c>
      <c r="B32" s="1" t="str">
        <f ca="1">IFERROR(__xludf.DUMFUNCTION("GOOGLETRANSLATE(A39,""id"",""en"")"),"Donlot Love Star Apk  Delete")</f>
        <v>Donlot Love Star Apk  Delete</v>
      </c>
    </row>
    <row r="33" spans="1:2" x14ac:dyDescent="0.2">
      <c r="A33" s="1" t="s">
        <v>2382</v>
      </c>
      <c r="B33" s="1" t="str">
        <f ca="1">IFERROR(__xludf.DUMFUNCTION("GOOGLETRANSLATE(A40,""id"",""en"")"),"Open the list of  buy pertalite")</f>
        <v>Open the list of  buy pertalite</v>
      </c>
    </row>
    <row r="34" spans="1:2" x14ac:dyDescent="0.2">
      <c r="A34" s="1" t="s">
        <v>2390</v>
      </c>
      <c r="B34" s="1" t="str">
        <f ca="1">IFERROR(__xludf.DUMFUNCTION("GOOGLETRANSLATE(A41,""id"",""en"")"),"In the morning, I heard that the nomel grumbled the command because of  wkekekekekekekek")</f>
        <v>In the morning, I heard that the nomel grumbled the command because of  wkekekekekekekek</v>
      </c>
    </row>
    <row r="35" spans="1:2" x14ac:dyDescent="0.2">
      <c r="A35" s="1" t="s">
        <v>2391</v>
      </c>
      <c r="B35" s="1" t="str">
        <f ca="1">IFERROR(__xludf.DUMFUNCTION("GOOGLETRANSLATE(A42,""id"",""en"")"),"Karywn Pertalite Gas Station Pertamax PA Consumer Pertalite Karywn SPBU Silah Open the  Consumer Application Duuuaaarrrrrrrrrrrrrrrrrrrrrrrrr at")</f>
        <v>Karywn Pertalite Gas Station Pertamax PA Consumer Pertalite Karywn SPBU Silah Open the  Consumer Application Duuuaaarrrrrrrrrrrrrrrrrrrrrrrrr at</v>
      </c>
    </row>
    <row r="36" spans="1:2" x14ac:dyDescent="0.2">
      <c r="A36" s="1" t="s">
        <v>2392</v>
      </c>
      <c r="B36" s="1" t="str">
        <f ca="1">IFERROR(__xludf.DUMFUNCTION("GOOGLETRANSLATE(A43,""id"",""en"")"),"which is about  about protectors")</f>
        <v>which is about  about protectors</v>
      </c>
    </row>
    <row r="37" spans="1:2" x14ac:dyDescent="0.2">
      <c r="A37" s="1" t="s">
        <v>2393</v>
      </c>
      <c r="B37" s="1" t="str">
        <f ca="1">IFERROR(__xludf.DUMFUNCTION("GOOGLETRANSLATE(A44,""id"",""en"")")," Buy Pertalite must use the   application to sell a retail, just buy here, so it's just a ri")</f>
        <v xml:space="preserve"> Buy Pertalite must use the   application to sell a retail, just buy here, so it's just a ri</v>
      </c>
    </row>
    <row r="38" spans="1:2" x14ac:dyDescent="0.2">
      <c r="A38" s="1" t="s">
        <v>2394</v>
      </c>
      <c r="B38" s="1" t="str">
        <f ca="1">IFERROR(__xludf.DUMFUNCTION("GOOGLETRANSLATE(A45,""id"",""en"")"),"Buy Cooking Oil Using the Protection Care Application Buy BBM Using the  Application")</f>
        <v>Buy Cooking Oil Using the Protection Care Application Buy BBM Using the  Application</v>
      </c>
    </row>
    <row r="39" spans="1:2" x14ac:dyDescent="0.2">
      <c r="A39" s="1" t="s">
        <v>2395</v>
      </c>
      <c r="B39" s="1" t="str">
        <f ca="1">IFERROR(__xludf.DUMFUNCTION("GOOGLETRANSLATE(A46,""id"",""en"")"),"list of subsidized fuel via  car specifically")</f>
        <v>list of subsidized fuel via  car specifically</v>
      </c>
    </row>
    <row r="40" spans="1:2" x14ac:dyDescent="0.2">
      <c r="A40" s="1" t="s">
        <v>2396</v>
      </c>
      <c r="B40" s="1" t="str">
        <f ca="1">IFERROR(__xludf.DUMFUNCTION("GOOGLETRANSLATE(A47,""id"",""en"")"),"Pertamax Cheap Pertalite Number Using App  Not Using Pertalite Buy Pertamax Pertalite Lost")</f>
        <v>Pertamax Cheap Pertalite Number Using App  Not Using Pertalite Buy Pertamax Pertalite Lost</v>
      </c>
    </row>
    <row r="41" spans="1:2" x14ac:dyDescent="0.2">
      <c r="A41" s="1" t="s">
        <v>2397</v>
      </c>
      <c r="B41" s="1" t="str">
        <f ca="1">IFERROR(__xludf.DUMFUNCTION("GOOGLETRANSLATE(A48,""id"",""en"")"),"Loading Lemotnga Naudzubillah Moda Pay Ga Linkaja Install  Automatic Installing Linkaja Memory Efficiency Decreases UI UX really pull easily")</f>
        <v>Loading Lemotnga Naudzubillah Moda Pay Ga Linkaja Install  Automatic Installing Linkaja Memory Efficiency Decreases UI UX really pull easily</v>
      </c>
    </row>
    <row r="42" spans="1:2" x14ac:dyDescent="0.2">
      <c r="A42" s="1" t="s">
        <v>2398</v>
      </c>
      <c r="B42" s="1" t="str">
        <f ca="1">IFERROR(__xludf.DUMFUNCTION("GOOGLETRANSLATE(A49,""id"",""en"")")," Kendara Roda")</f>
        <v xml:space="preserve"> Kendara Roda</v>
      </c>
    </row>
    <row r="43" spans="1:2" x14ac:dyDescent="0.2">
      <c r="A43" s="1" t="s">
        <v>2399</v>
      </c>
      <c r="B43" s="1" t="str">
        <f ca="1">IFERROR(__xludf.DUMFUNCTION("GOOGLETRANSLATE(A50,""id"",""en"")"),"the city of Bandung is one of the areas must buy subsidized fuel using the  application, the wise of the wise residents of the tires")</f>
        <v>the city of Bandung is one of the areas must buy subsidized fuel using the  application, the wise of the wise residents of the tires</v>
      </c>
    </row>
    <row r="44" spans="1:2" x14ac:dyDescent="0.2">
      <c r="A44" s="1" t="s">
        <v>2400</v>
      </c>
      <c r="B44" s="1" t="str">
        <f ca="1">IFERROR(__xludf.DUMFUNCTION("GOOGLETRANSLATE(A51,""id"",""en"")"),"I hope  error so that you don't bother people take down")</f>
        <v>I hope  error so that you don't bother people take down</v>
      </c>
    </row>
    <row r="45" spans="1:2" x14ac:dyDescent="0.2">
      <c r="A45" s="1" t="s">
        <v>2401</v>
      </c>
      <c r="B45" s="1" t="str">
        <f ca="1">IFERROR(__xludf.DUMFUNCTION("GOOGLETRANSLATE(A52,""id"",""en"")"),"queuing the state of  Ternate entered the city of trials Many residents reject public transportation drivers lose competitiveness with grab buying BBM using mobile applications Buy Credit Country Hoby makes it difficult for people's angkot driv"&amp;"ers")</f>
        <v>queuing the state of  Ternate entered the city of trials Many residents reject public transportation drivers lose competitiveness with grab buying BBM using mobile applications Buy Credit Country Hoby makes it difficult for people's angkot drivers</v>
      </c>
    </row>
    <row r="46" spans="1:2" x14ac:dyDescent="0.2">
      <c r="A46" s="1" t="s">
        <v>2402</v>
      </c>
      <c r="B46" s="1" t="str">
        <f ca="1">IFERROR(__xludf.DUMFUNCTION("GOOGLETRANSLATE(A53,""id"",""en"")")," Linkaja Robbing Difficult")</f>
        <v xml:space="preserve"> Linkaja Robbing Difficult</v>
      </c>
    </row>
    <row r="47" spans="1:2" x14ac:dyDescent="0.2">
      <c r="A47" s="1" t="s">
        <v>2403</v>
      </c>
      <c r="B47" s="1" t="str">
        <f ca="1">IFERROR(__xludf.DUMFUNCTION("GOOGLETRANSLATE(A54,""id"",""en"")"),"the base of the  community see guys")</f>
        <v>the base of the  community see guys</v>
      </c>
    </row>
    <row r="48" spans="1:2" x14ac:dyDescent="0.2">
      <c r="A48" s="1" t="s">
        <v>2404</v>
      </c>
      <c r="B48" s="1" t="str">
        <f ca="1">IFERROR(__xludf.DUMFUNCTION("GOOGLETRANSLATE(A56,""id"",""en"")"),"Residents of the City of Tasikmalaya Choose Buy BBM SPBU neighboring area trials buying fuel using  via")</f>
        <v>Residents of the City of Tasikmalaya Choose Buy BBM SPBU neighboring area trials buying fuel using  via</v>
      </c>
    </row>
    <row r="49" spans="1:2" x14ac:dyDescent="0.2">
      <c r="A49" s="1" t="s">
        <v>2405</v>
      </c>
      <c r="B49" s="1" t="str">
        <f ca="1">IFERROR(__xludf.DUMFUNCTION("GOOGLETRANSLATE(A57,""id"",""en"")"),"Use the  BBM Subsidized Salang application")</f>
        <v>Use the  BBM Subsidized Salang application</v>
      </c>
    </row>
    <row r="50" spans="1:2" x14ac:dyDescent="0.2">
      <c r="A50" s="1" t="s">
        <v>2406</v>
      </c>
      <c r="B50" s="1" t="str">
        <f ca="1">IFERROR(__xludf.DUMFUNCTION("GOOGLETRANSLATE(A58,""id"",""en"")"),"SESATIFY Read the Review of the  Application Haha")</f>
        <v>SESATIFY Read the Review of the  Application Haha</v>
      </c>
    </row>
    <row r="51" spans="1:2" x14ac:dyDescent="0.2">
      <c r="A51" s="1" t="s">
        <v>2407</v>
      </c>
      <c r="B51" s="1" t="str">
        <f ca="1">IFERROR(__xludf.DUMFUNCTION("GOOGLETRANSLATE(A59,""id"",""en"")"),"how do I queue using the  application broke the broken screen, read the gas station assignment camera")</f>
        <v>how do I queue using the  application broke the broken screen, read the gas station assignment camera</v>
      </c>
    </row>
    <row r="52" spans="1:2" x14ac:dyDescent="0.2">
      <c r="A52" s="1" t="s">
        <v>2408</v>
      </c>
      <c r="B52" s="1" t="str">
        <f ca="1">IFERROR(__xludf.DUMFUNCTION("GOOGLETRANSLATE(A60,""id"",""en"")"),"Delete Premium TA Bluebird Yellow Plate Subsidy Ta Ta Online Black Plate Apk ")</f>
        <v xml:space="preserve">Delete Premium TA Bluebird Yellow Plate Subsidy Ta Ta Online Black Plate Apk </v>
      </c>
    </row>
    <row r="53" spans="1:2" x14ac:dyDescent="0.2">
      <c r="A53" s="1" t="s">
        <v>2409</v>
      </c>
      <c r="B53" s="1" t="str">
        <f ca="1">IFERROR(__xludf.DUMFUNCTION("GOOGLETRANSLATE(A61,""id"",""en"")"),"July the area is required to use the  application to buy a solar pertalite")</f>
        <v>July the area is required to use the  application to buy a solar pertalite</v>
      </c>
    </row>
    <row r="54" spans="1:2" x14ac:dyDescent="0.2">
      <c r="A54" s="1" t="s">
        <v>2410</v>
      </c>
      <c r="B54" s="1" t="str">
        <f ca="1">IFERROR(__xludf.DUMFUNCTION("GOOGLETRANSLATE(A62,""id"",""en"")"),"the applications of  control control fuel subsidized value is very wise energy")</f>
        <v>the applications of  control control fuel subsidized value is very wise energy</v>
      </c>
    </row>
    <row r="55" spans="1:2" x14ac:dyDescent="0.2">
      <c r="A55" s="1" t="s">
        <v>2411</v>
      </c>
      <c r="B55" s="1" t="str">
        <f ca="1">IFERROR(__xludf.DUMFUNCTION("GOOGLETRANSLATE(A63,""id"",""en"")"),"so 's stery")</f>
        <v>so 's stery</v>
      </c>
    </row>
    <row r="56" spans="1:2" x14ac:dyDescent="0.2">
      <c r="A56" s="1" t="s">
        <v>2412</v>
      </c>
      <c r="B56" s="1" t="str">
        <f ca="1">IFERROR(__xludf.DUMFUNCTION("GOOGLETRANSLATE(A64,""id"",""en"")"),"Buy Pertalite  Achmad Nur Hidayat Disconnect Orders of Karniilyas Pertalite ")</f>
        <v xml:space="preserve">Buy Pertalite  Achmad Nur Hidayat Disconnect Orders of Karniilyas Pertalite </v>
      </c>
    </row>
    <row r="57" spans="1:2" x14ac:dyDescent="0.2">
      <c r="A57" s="1" t="s">
        <v>2413</v>
      </c>
      <c r="B57" s="1" t="str">
        <f ca="1">IFERROR(__xludf.DUMFUNCTION("GOOGLETRANSLATE(A65,""id"",""en"")"),"Buy Pertalite Solar Using  Eits Wrong Read Let's Check Complete Facts of  Commitment")</f>
        <v>Buy Pertalite Solar Using  Eits Wrong Read Let's Check Complete Facts of  Commitment</v>
      </c>
    </row>
    <row r="58" spans="1:2" x14ac:dyDescent="0.2">
      <c r="A58" s="1" t="s">
        <v>2414</v>
      </c>
      <c r="B58" s="1" t="str">
        <f ca="1">IFERROR(__xludf.DUMFUNCTION("GOOGLETRANSLATE(A66,""id"",""en"")"),"some have used the  application, read the person who has installed the application that the application")</f>
        <v>some have used the  application, read the person who has installed the application that the application</v>
      </c>
    </row>
    <row r="59" spans="1:2" x14ac:dyDescent="0.2">
      <c r="A59" s="1" t="s">
        <v>2415</v>
      </c>
      <c r="B59" s="1" t="str">
        <f ca="1">IFERROR(__xludf.DUMFUNCTION("GOOGLETRANSLATE(A67,""id"",""en"")"),"PT  Persero Tbk Process of Buying Fuel Fuel Subsidized PERTALITE SOLAR July List of  Sites Open MBKBFM")</f>
        <v>PT  Persero Tbk Process of Buying Fuel Fuel Subsidized PERTALITE SOLAR July List of  Sites Open MBKBFM</v>
      </c>
    </row>
    <row r="60" spans="1:2" x14ac:dyDescent="0.2">
      <c r="A60" s="1" t="s">
        <v>2416</v>
      </c>
      <c r="B60" s="1" t="str">
        <f ca="1">IFERROR(__xludf.DUMFUNCTION("GOOGLETRANSLATE(A68,""id"",""en"")"),"Trial of Citizens Complaints  Error Application Send OTP Code")</f>
        <v>Trial of Citizens Complaints  Error Application Send OTP Code</v>
      </c>
    </row>
    <row r="61" spans="1:2" x14ac:dyDescent="0.2">
      <c r="A61" s="1" t="s">
        <v>2417</v>
      </c>
      <c r="B61" s="1" t="str">
        <f ca="1">IFERROR(__xludf.DUMFUNCTION("GOOGLETRANSLATE(A69,""id"",""en"")")," firmly the applications of the  Application to buy LPG KG Bandarlampung Sumatra")</f>
        <v xml:space="preserve"> firmly the applications of the  Application to buy LPG KG Bandarlampung Sumatra</v>
      </c>
    </row>
    <row r="62" spans="1:2" x14ac:dyDescent="0.2">
      <c r="A62" s="1" t="s">
        <v>2418</v>
      </c>
      <c r="B62" s="1" t="str">
        <f ca="1">IFERROR(__xludf.DUMFUNCTION("GOOGLETRANSLATE(A70,""id"",""en"")"),"Buy LPG Kg  Application Terms")</f>
        <v>Buy LPG Kg  Application Terms</v>
      </c>
    </row>
    <row r="63" spans="1:2" x14ac:dyDescent="0.2">
      <c r="A63" s="1" t="s">
        <v>2419</v>
      </c>
      <c r="B63" s="1" t="str">
        <f ca="1">IFERROR(__xludf.DUMFUNCTION("GOOGLETRANSLATE(A71,""id"",""en"")"),"watch out for  abal abal stolen data")</f>
        <v>watch out for  abal abal stolen data</v>
      </c>
    </row>
    <row r="64" spans="1:2" x14ac:dyDescent="0.2">
      <c r="A64" s="1" t="s">
        <v>2420</v>
      </c>
      <c r="B64" s="1" t="str">
        <f ca="1">IFERROR(__xludf.DUMFUNCTION("GOOGLETRANSLATE(A72,""id"",""en"")"),"How do you have pertalite, already filling in gasoline using ")</f>
        <v xml:space="preserve">How do you have pertalite, already filling in gasoline using </v>
      </c>
    </row>
    <row r="65" spans="1:2" x14ac:dyDescent="0.2">
      <c r="A65" s="1" t="s">
        <v>2421</v>
      </c>
      <c r="B65" s="1" t="str">
        <f ca="1">IFERROR(__xludf.DUMFUNCTION("GOOGLETRANSLATE(A73,""id"",""en"")"),"The patient rating of  is  Petralite")</f>
        <v>The patient rating of  is  Petralite</v>
      </c>
    </row>
    <row r="66" spans="1:2" x14ac:dyDescent="0.2">
      <c r="A66" s="1" t="s">
        <v>2422</v>
      </c>
      <c r="B66" s="1" t="str">
        <f ca="1">IFERROR(__xludf.DUMFUNCTION("GOOGLETRANSLATE(A74,""id"",""en"")"),"Check the facts of buying BBM Mandatory   EnergyToday EnergyTodayid application")</f>
        <v>Check the facts of buying BBM Mandatory   EnergyToday EnergyTodayid application</v>
      </c>
    </row>
    <row r="67" spans="1:2" x14ac:dyDescent="0.2">
      <c r="A67" s="1" t="s">
        <v>2423</v>
      </c>
      <c r="B67" s="1" t="str">
        <f ca="1">IFERROR(__xludf.DUMFUNCTION("GOOGLETRANSLATE(A75,""id"",""en"")")," uses the   Energytoday Energy application")</f>
        <v xml:space="preserve"> uses the   Energytoday Energy application</v>
      </c>
    </row>
    <row r="68" spans="1:2" x14ac:dyDescent="0.2">
      <c r="A68" s="1" t="s">
        <v>2424</v>
      </c>
      <c r="B68" s="1" t="str">
        <f ca="1">IFERROR(__xludf.DUMFUNCTION("GOOGLETRANSLATE(A76,""id"",""en"")"),"Answer Buy Pertalite Solar List List of   En website")</f>
        <v>Answer Buy Pertalite Solar List List of   En website</v>
      </c>
    </row>
    <row r="69" spans="1:2" x14ac:dyDescent="0.2">
      <c r="A69" s="1" t="s">
        <v>2425</v>
      </c>
      <c r="B69" s="1" t="str">
        <f ca="1">IFERROR(__xludf.DUMFUNCTION("GOOGLETRANSLATE(A77,""id"",""en"")"),"trial for the application for  consumers owned by Kendara Rasa Laku Roda alias Motor Koranjakarta Infographic BBM Indonesian Application")</f>
        <v>trial for the application for  consumers owned by Kendara Rasa Laku Roda alias Motor Koranjakarta Infographic BBM Indonesian Application</v>
      </c>
    </row>
    <row r="70" spans="1:2" x14ac:dyDescent="0.2">
      <c r="A70" s="1" t="s">
        <v>2426</v>
      </c>
      <c r="B70" s="1" t="str">
        <f ca="1">IFERROR(__xludf.DUMFUNCTION("GOOGLETRANSLATE(A78,""id"",""en"")"),"Let's understand the alas using  buying solar subsidies pertalite")</f>
        <v>Let's understand the alas using  buying solar subsidies pertalite</v>
      </c>
    </row>
    <row r="71" spans="1:2" x14ac:dyDescent="0.2">
      <c r="A71" s="1" t="s">
        <v>2427</v>
      </c>
      <c r="B71" s="1" t="str">
        <f ca="1">IFERROR(__xludf.DUMFUNCTION("GOOGLETRANSLATE(A79,""id"",""en"")"),"Ayok Download List of  Buy BBM on July")</f>
        <v>Ayok Download List of  Buy BBM on July</v>
      </c>
    </row>
    <row r="72" spans="1:2" x14ac:dyDescent="0.2">
      <c r="A72" s="1" t="s">
        <v>2428</v>
      </c>
      <c r="B72" s="1" t="str">
        <f ca="1">IFERROR(__xludf.DUMFUNCTION("GOOGLETRANSLATE(A80,""id"",""en"")"),"Going to buying BBM Mandatory to Use   EnergyToday EnergyTodayid")</f>
        <v>Going to buying BBM Mandatory to Use   EnergyToday EnergyTodayid</v>
      </c>
    </row>
    <row r="73" spans="1:2" x14ac:dyDescent="0.2">
      <c r="A73" s="1" t="s">
        <v>2429</v>
      </c>
      <c r="B73" s="1" t="str">
        <f ca="1">IFERROR(__xludf.DUMFUNCTION("GOOGLETRANSLATE(A81,""id"",""en"")"),"access to   apps ready to booth offline  Energy")</f>
        <v>access to   apps ready to booth offline  Energy</v>
      </c>
    </row>
    <row r="74" spans="1:2" x14ac:dyDescent="0.2">
      <c r="A74" s="1" t="s">
        <v>2430</v>
      </c>
      <c r="B74" s="1" t="str">
        <f ca="1">IFERROR(__xludf.DUMFUNCTION("GOOGLETRANSLATE(A82,""id"",""en"")"),"a list of vehicles to buy solar subsidies  tempobusiness")</f>
        <v>a list of vehicles to buy solar subsidies  tempobusiness</v>
      </c>
    </row>
    <row r="75" spans="1:2" x14ac:dyDescent="0.2">
      <c r="A75" s="1" t="s">
        <v>2431</v>
      </c>
      <c r="B75" s="1" t="str">
        <f ca="1">IFERROR(__xludf.DUMFUNCTION("GOOGLETRANSLATE(A83,""id"",""en"")"),"chaotic ")</f>
        <v xml:space="preserve">chaotic </v>
      </c>
    </row>
    <row r="76" spans="1:2" x14ac:dyDescent="0.2">
      <c r="A76" s="1" t="s">
        <v>2432</v>
      </c>
      <c r="B76" s="1" t="str">
        <f ca="1">IFERROR(__xludf.DUMFUNCTION("GOOGLETRANSLATE(A84,""id"",""en"")")," Complicated Community Subdisified BBM")</f>
        <v xml:space="preserve"> Complicated Community Subdisified BBM</v>
      </c>
    </row>
    <row r="77" spans="1:2" x14ac:dyDescent="0.2">
      <c r="A77" s="1" t="s">
        <v>2433</v>
      </c>
      <c r="B77" s="1" t="str">
        <f ca="1">IFERROR(__xludf.DUMFUNCTION("GOOGLETRANSLATE(A85,""id"",""en"")"),"Buy Pertalite using  Pay Make Links Just the HP GB Internal Memory Shouting HAHAHA")</f>
        <v>Buy Pertalite using  Pay Make Links Just the HP GB Internal Memory Shouting HAHAHA</v>
      </c>
    </row>
    <row r="78" spans="1:2" x14ac:dyDescent="0.2">
      <c r="A78" s="1" t="s">
        <v>2434</v>
      </c>
      <c r="B78" s="1" t="str">
        <f ca="1">IFERROR(__xludf.DUMFUNCTION("GOOGLETRANSLATE(A86,""id"",""en"")"),"list of fuel subsidies for  websites protected rights of community energy subsidies vulnerable")</f>
        <v>list of fuel subsidies for  websites protected rights of community energy subsidies vulnerable</v>
      </c>
    </row>
    <row r="79" spans="1:2" x14ac:dyDescent="0.2">
      <c r="A79" s="1" t="s">
        <v>2435</v>
      </c>
      <c r="B79" s="1" t="str">
        <f ca="1">IFERROR(__xludf.DUMFUNCTION("GOOGLETRANSLATE(A87,""id"",""en"")"),"The Rating of the  Star Play Store Wise Store Google Klu App that invited the controversy for blocking the fate of the app.")</f>
        <v>The Rating of the  Star Play Store Wise Store Google Klu App that invited the controversy for blocking the fate of the app.</v>
      </c>
    </row>
    <row r="80" spans="1:2" x14ac:dyDescent="0.2">
      <c r="A80" s="1" t="s">
        <v>2436</v>
      </c>
      <c r="B80" s="1" t="str">
        <f ca="1">IFERROR(__xludf.DUMFUNCTION("GOOGLETRANSLATE(A88,""id"",""en"")"),"Trial Buying Subsidized BBM Using  Loyal Types of Darfar Darfar Types")</f>
        <v>Trial Buying Subsidized BBM Using  Loyal Types of Darfar Darfar Types</v>
      </c>
    </row>
    <row r="81" spans="1:2" x14ac:dyDescent="0.2">
      <c r="A81" s="1" t="s">
        <v>2437</v>
      </c>
      <c r="B81" s="1" t="str">
        <f ca="1">IFERROR(__xludf.DUMFUNCTION("GOOGLETRANSLATE(A89,""id"",""en"")")," Google Play Store Application Flood Star Review As a result")</f>
        <v xml:space="preserve"> Google Play Store Application Flood Star Review As a result</v>
      </c>
    </row>
    <row r="82" spans="1:2" x14ac:dyDescent="0.2">
      <c r="A82" s="1" t="s">
        <v>2438</v>
      </c>
      <c r="B82" s="1" t="str">
        <f ca="1">IFERROR(__xludf.DUMFUNCTION("GOOGLETRANSLATE(A90,""id"",""en"")"),"Buy BBM Using the  Application")</f>
        <v>Buy BBM Using the  Application</v>
      </c>
    </row>
    <row r="83" spans="1:2" x14ac:dyDescent="0.2">
      <c r="A83" s="1" t="s">
        <v>2439</v>
      </c>
      <c r="B83" s="1" t="str">
        <f ca="1">IFERROR(__xludf.DUMFUNCTION("GOOGLETRANSLATE(A91,""id"",""en"")"),"the city of Bandung sells for the  application to buy fuel type of solar pertalite")</f>
        <v>the city of Bandung sells for the  application to buy fuel type of solar pertalite</v>
      </c>
    </row>
    <row r="84" spans="1:2" x14ac:dyDescent="0.2">
      <c r="A84" s="1" t="s">
        <v>2440</v>
      </c>
      <c r="B84" s="1" t="str">
        <f ca="1">IFERROR(__xludf.DUMFUNCTION("GOOGLETRANSLATE(A92,""id"",""en"")"),"Yesterday people were noisy buying Pertalite Ron List  Read the amp requirement of course the list of QR Code wheels printed with mobile gas stations")</f>
        <v>Yesterday people were noisy buying Pertalite Ron List  Read the amp requirement of course the list of QR Code wheels printed with mobile gas stations</v>
      </c>
    </row>
    <row r="85" spans="1:2" x14ac:dyDescent="0.2">
      <c r="A85" s="1" t="s">
        <v>2441</v>
      </c>
      <c r="B85" s="1" t="str">
        <f ca="1">IFERROR(__xludf.DUMFUNCTION("GOOGLETRANSLATE(A93,""id"",""en"")"),"Residents of the City of Tasikmalaya Choose Buy BBM SPBU neighboring trials to buy fuel using ")</f>
        <v xml:space="preserve">Residents of the City of Tasikmalaya Choose Buy BBM SPBU neighboring trials to buy fuel using </v>
      </c>
    </row>
    <row r="86" spans="1:2" x14ac:dyDescent="0.2">
      <c r="A86" s="1" t="s">
        <v>2442</v>
      </c>
      <c r="B86" s="1" t="str">
        <f ca="1">IFERROR(__xludf.DUMFUNCTION("GOOGLETRANSLATE(A94,""id"",""en"")"),"bang buy gas list  ebuset cutting buying gas you have to list")</f>
        <v>bang buy gas list  ebuset cutting buying gas you have to list</v>
      </c>
    </row>
    <row r="87" spans="1:2" x14ac:dyDescent="0.2">
      <c r="A87" s="1" t="s">
        <v>2443</v>
      </c>
      <c r="B87" s="1" t="str">
        <f ca="1">IFERROR(__xludf.DUMFUNCTION("GOOGLETRANSLATE(A95,""id"",""en"")"),"LAKU LIST OF BBM SUBSIDY  WEBSITE WEBSITE")</f>
        <v>LAKU LIST OF BBM SUBSIDY  WEBSITE WEBSITE</v>
      </c>
    </row>
    <row r="88" spans="1:2" x14ac:dyDescent="0.2">
      <c r="A88" s="1" t="s">
        <v>2444</v>
      </c>
      <c r="B88" s="1" t="str">
        <f ca="1">IFERROR(__xludf.DUMFUNCTION("GOOGLETRANSLATE(A96,""id"",""en"")"),"It's really strange to put on using  pom to play cellphones")</f>
        <v>It's really strange to put on using  pom to play cellphones</v>
      </c>
    </row>
    <row r="89" spans="1:2" x14ac:dyDescent="0.2">
      <c r="A89" s="1" t="s">
        <v>2445</v>
      </c>
      <c r="B89" s="1" t="str">
        <f ca="1">IFERROR(__xludf.DUMFUNCTION("GOOGLETRANSLATE(A97,""id"",""en"")"),"Buy BBM Pertalite Solar The  Application Sold in July Via")</f>
        <v>Buy BBM Pertalite Solar The  Application Sold in July Via</v>
      </c>
    </row>
    <row r="90" spans="1:2" x14ac:dyDescent="0.2">
      <c r="A90" s="1" t="s">
        <v>2446</v>
      </c>
      <c r="B90" s="1" t="str">
        <f ca="1">IFERROR(__xludf.DUMFUNCTION("GOOGLETRANSLATE(A99,""id"",""en"")"),"Om using  yes content helps to educate using ")</f>
        <v xml:space="preserve">Om using  yes content helps to educate using </v>
      </c>
    </row>
    <row r="91" spans="1:2" x14ac:dyDescent="0.2">
      <c r="A91" s="1" t="s">
        <v>2447</v>
      </c>
      <c r="B91" s="1" t="str">
        <f ca="1">IFERROR(__xludf.DUMFUNCTION("GOOGLETRANSLATE(A101,""id"",""en"")"),"ih confused download  pdhl pom gaboleh playing cellphone")</f>
        <v>ih confused download  pdhl pom gaboleh playing cellphone</v>
      </c>
    </row>
    <row r="92" spans="1:2" x14ac:dyDescent="0.2">
      <c r="A92" s="1" t="s">
        <v>2448</v>
      </c>
      <c r="B92" s="1" t="str">
        <f ca="1">IFERROR(__xludf.DUMFUNCTION("GOOGLETRANSLATE(A102,""id"",""en"")"),"Your dick makes  just waste money, just crazy in using 's app, need the internet")</f>
        <v>Your dick makes  just waste money, just crazy in using 's app, need the internet</v>
      </c>
    </row>
    <row r="93" spans="1:2" x14ac:dyDescent="0.2">
      <c r="A93" s="1" t="s">
        <v>2449</v>
      </c>
      <c r="B93" s="1" t="str">
        <f ca="1">IFERROR(__xludf.DUMFUNCTION("GOOGLETRANSLATE(A104,""id"",""en"")"),"Guna  Alas, guys, let's see")</f>
        <v>Guna  Alas, guys, let's see</v>
      </c>
    </row>
    <row r="94" spans="1:2" x14ac:dyDescent="0.2">
      <c r="A94" s="1" t="s">
        <v>2416</v>
      </c>
      <c r="B94" s="1" t="str">
        <f ca="1">IFERROR(__xludf.DUMFUNCTION("GOOGLETRANSLATE(A105,""id"",""en"")"),"Trial of Citizens Complaints  Error Application Send OTP Code")</f>
        <v>Trial of Citizens Complaints  Error Application Send OTP Code</v>
      </c>
    </row>
    <row r="95" spans="1:2" x14ac:dyDescent="0.2">
      <c r="A95" s="1" t="s">
        <v>2450</v>
      </c>
      <c r="B95" s="1" t="str">
        <f ca="1">IFERROR(__xludf.DUMFUNCTION("GOOGLETRANSLATE(A106,""id"",""en"")")," Solution")</f>
        <v xml:space="preserve"> Solution</v>
      </c>
    </row>
    <row r="96" spans="1:2" x14ac:dyDescent="0.2">
      <c r="A96" s="1" t="s">
        <v>6</v>
      </c>
      <c r="B96" s="1" t="str">
        <f ca="1">IFERROR(__xludf.DUMFUNCTION("GOOGLETRANSLATE(A107,""id"",""en"")"),"appears")</f>
        <v>appears</v>
      </c>
    </row>
    <row r="97" spans="1:2" x14ac:dyDescent="0.2">
      <c r="A97" s="1" t="s">
        <v>2451</v>
      </c>
      <c r="B97" s="1" t="str">
        <f ca="1">IFERROR(__xludf.DUMFUNCTION("GOOGLETRANSLATE(A109,""id"",""en"")"),"the community is encouraged to apply ")</f>
        <v xml:space="preserve">the community is encouraged to apply </v>
      </c>
    </row>
    <row r="98" spans="1:2" x14ac:dyDescent="0.2">
      <c r="A98" s="1" t="s">
        <v>2452</v>
      </c>
      <c r="B98" s="1" t="str">
        <f ca="1">IFERROR(__xludf.DUMFUNCTION("GOOGLETRANSLATE(A110,""id"",""en"")"),"PAS TRUE TRIAL  BANJARMASIN")</f>
        <v>PAS TRUE TRIAL  BANJARMASIN</v>
      </c>
    </row>
    <row r="99" spans="1:2" x14ac:dyDescent="0.2">
      <c r="A99" s="1" t="s">
        <v>2453</v>
      </c>
      <c r="B99" s="1" t="str">
        <f ca="1">IFERROR(__xludf.DUMFUNCTION("GOOGLETRANSLATE(A112,""id"",""en"")"),"detikNetwork Buy BBM Pertalite Solar Subsidy Mandatory List of  Sites Late List Consumer List")</f>
        <v>detikNetwork Buy BBM Pertalite Solar Subsidy Mandatory List of  Sites Late List Consumer List</v>
      </c>
    </row>
    <row r="100" spans="1:2" x14ac:dyDescent="0.2">
      <c r="A100" s="1" t="s">
        <v>2454</v>
      </c>
      <c r="B100" s="1" t="str">
        <f ca="1">IFERROR(__xludf.DUMFUNCTION("GOOGLETRANSLATE(A113,""id"",""en"")"),"List of  owned by Kendara Roda See This Instagram Photo by")</f>
        <v>List of  owned by Kendara Roda See This Instagram Photo by</v>
      </c>
    </row>
    <row r="101" spans="1:2" x14ac:dyDescent="0.2">
      <c r="A101" s="1" t="s">
        <v>2455</v>
      </c>
      <c r="B101" s="1" t="str">
        <f ca="1">IFERROR(__xludf.DUMFUNCTION("GOOGLETRANSLATE(A114,""id"",""en"")"),"there is the results of  subsidized registration guys at dawn  subsidized subsidies")</f>
        <v>there is the results of  subsidized registration guys at dawn  subsidized subsidies</v>
      </c>
    </row>
    <row r="102" spans="1:2" x14ac:dyDescent="0.2">
      <c r="A102" s="1" t="s">
        <v>2456</v>
      </c>
      <c r="B102" s="1" t="str">
        <f ca="1">IFERROR(__xludf.DUMFUNCTION("GOOGLETRANSLATE(A115,""id"",""en"")"),"Sis Jogjes really uses ")</f>
        <v xml:space="preserve">Sis Jogjes really uses </v>
      </c>
    </row>
    <row r="103" spans="1:2" x14ac:dyDescent="0.2">
      <c r="A103" s="1" t="s">
        <v>2457</v>
      </c>
      <c r="B103" s="1" t="str">
        <f ca="1">IFERROR(__xludf.DUMFUNCTION("GOOGLETRANSLATE(A116,""id"",""en"")"),"after filling the full tank using the  application")</f>
        <v>after filling the full tank using the  application</v>
      </c>
    </row>
    <row r="104" spans="1:2" x14ac:dyDescent="0.2">
      <c r="A104" s="1" t="s">
        <v>2458</v>
      </c>
      <c r="B104" s="1" t="str">
        <f ca="1">IFERROR(__xludf.DUMFUNCTION("GOOGLETRANSLATE(A117,""id"",""en"")"),"List of BBM subsidies for a special  website")</f>
        <v>List of BBM subsidies for a special  website</v>
      </c>
    </row>
    <row r="105" spans="1:2" x14ac:dyDescent="0.2">
      <c r="A105" s="1" t="s">
        <v>2459</v>
      </c>
      <c r="B105" s="1" t="str">
        <f ca="1">IFERROR(__xludf.DUMFUNCTION("GOOGLETRANSLATE(A118,""id"",""en"")"),"protect  tomorrow buying electricity to pay for mobile mobile air using  lpg toilet using ")</f>
        <v xml:space="preserve">protect  tomorrow buying electricity to pay for mobile mobile air using  lpg toilet using </v>
      </c>
    </row>
    <row r="106" spans="1:2" x14ac:dyDescent="0.2">
      <c r="A106" s="1" t="s">
        <v>2460</v>
      </c>
      <c r="B106" s="1" t="str">
        <f ca="1">IFERROR(__xludf.DUMFUNCTION("GOOGLETRANSLATE(A119,""id"",""en"")"),"Splashy Netizen List  July Error List Number")</f>
        <v>Splashy Netizen List  July Error List Number</v>
      </c>
    </row>
    <row r="107" spans="1:2" x14ac:dyDescent="0.2">
      <c r="A107" s="1" t="s">
        <v>2461</v>
      </c>
      <c r="B107" s="1" t="str">
        <f ca="1">IFERROR(__xludf.DUMFUNCTION("GOOGLETRANSLATE(A120,""id"",""en"")"),"APAH ALAS  SUPPORT BUY BBM ALAS subsidies to support the regulation of subsidized fuel subsidies, not as a shadow protecting for the public, why use  can control fuel subsidized fuel, guys")</f>
        <v>APAH ALAS  SUPPORT BUY BBM ALAS subsidies to support the regulation of subsidized fuel subsidies, not as a shadow protecting for the public, why use  can control fuel subsidized fuel, guys</v>
      </c>
    </row>
    <row r="108" spans="1:2" x14ac:dyDescent="0.2">
      <c r="A108" s="1" t="s">
        <v>2462</v>
      </c>
      <c r="B108" s="1" t="str">
        <f ca="1">IFERROR(__xludf.DUMFUNCTION("GOOGLETRANSLATE(A121,""id"",""en"")"),"Failing to Register  Car Not Register")</f>
        <v>Failing to Register  Car Not Register</v>
      </c>
    </row>
    <row r="109" spans="1:2" x14ac:dyDescent="0.2">
      <c r="A109" s="1" t="s">
        <v>2463</v>
      </c>
      <c r="B109" s="1" t="str">
        <f ca="1">IFERROR(__xludf.DUMFUNCTION("GOOGLETRANSLATE(A122,""id"",""en"")")," Admin fee Rp")</f>
        <v xml:space="preserve"> Admin fee Rp</v>
      </c>
    </row>
    <row r="110" spans="1:2" x14ac:dyDescent="0.2">
      <c r="A110" s="1" t="s">
        <v>2464</v>
      </c>
      <c r="B110" s="1" t="str">
        <f ca="1">IFERROR(__xludf.DUMFUNCTION("GOOGLETRANSLATE(A123,""id"",""en"")"),"The Coalition of Civil People  Pedulilat protected complicated power of people's data from the people")</f>
        <v>The Coalition of Civil People  Pedulilat protected complicated power of people's data from the people</v>
      </c>
    </row>
    <row r="111" spans="1:2" x14ac:dyDescent="0.2">
      <c r="A111" s="1" t="s">
        <v>2465</v>
      </c>
      <c r="B111" s="1" t="str">
        <f ca="1">IFERROR(__xludf.DUMFUNCTION("GOOGLETRANSLATE(A125,""id"",""en"")"),"This takes care of   bat")</f>
        <v>This takes care of   bat</v>
      </c>
    </row>
    <row r="112" spans="1:2" x14ac:dyDescent="0.2">
      <c r="A112" s="1" t="s">
        <v>2466</v>
      </c>
      <c r="B112" s="1" t="str">
        <f ca="1">IFERROR(__xludf.DUMFUNCTION("GOOGLETRANSLATE(A126,""id"",""en"")"),"Remove of complicated buying fuel using narrative apps using  Apps Apps  Apps")</f>
        <v>Remove of complicated buying fuel using narrative apps using  Apps Apps  Apps</v>
      </c>
    </row>
    <row r="113" spans="1:2" x14ac:dyDescent="0.2">
      <c r="A113" s="1" t="s">
        <v>2467</v>
      </c>
      <c r="B113" s="1" t="str">
        <f ca="1">IFERROR(__xludf.DUMFUNCTION("GOOGLETRANSLATE(A127,""id"",""en"")"),"WDUH  Buy Types of Fuel Fuel Fuel Pertalite Solar List July List  Site Restless Community")</f>
        <v>WDUH  Buy Types of Fuel Fuel Fuel Pertalite Solar List July List  Site Restless Community</v>
      </c>
    </row>
    <row r="114" spans="1:2" x14ac:dyDescent="0.2">
      <c r="A114" s="1" t="s">
        <v>2468</v>
      </c>
      <c r="B114" s="1" t="str">
        <f ca="1">IFERROR(__xludf.DUMFUNCTION("GOOGLETRANSLATE(A128,""id"",""en"")"),"MGTNews PT  Persero Buying List of Special Digital  Digital Platform Fuels owned by Kendara Roda GengPagimgt Mgtradio")</f>
        <v>MGTNews PT  Persero Buying List of Special Digital  Digital Platform Fuels owned by Kendara Roda GengPagimgt Mgtradio</v>
      </c>
    </row>
    <row r="115" spans="1:2" x14ac:dyDescent="0.2">
      <c r="A115" s="1" t="s">
        <v>2469</v>
      </c>
      <c r="B115" s="1" t="str">
        <f ca="1">IFERROR(__xludf.DUMFUNCTION("GOOGLETRANSLATE(A129,""id"",""en"")")," Turned Protect")</f>
        <v xml:space="preserve"> Turned Protect</v>
      </c>
    </row>
    <row r="116" spans="1:2" x14ac:dyDescent="0.2">
      <c r="A116" s="1" t="s">
        <v>2470</v>
      </c>
      <c r="B116" s="1" t="str">
        <f ca="1">IFERROR(__xludf.DUMFUNCTION("GOOGLETRANSLATE(A131,""id"",""en"")"),"fortunately for  applications to enter the state treasury, it doesn't fortunate enough")</f>
        <v>fortunately for  applications to enter the state treasury, it doesn't fortunate enough</v>
      </c>
    </row>
    <row r="117" spans="1:2" x14ac:dyDescent="0.2">
      <c r="A117" s="1" t="s">
        <v>2471</v>
      </c>
      <c r="B117" s="1" t="str">
        <f ca="1">IFERROR(__xludf.DUMFUNCTION("GOOGLETRANSLATE(A132,""id"",""en"")"),"Early July MU List ")</f>
        <v xml:space="preserve">Early July MU List </v>
      </c>
    </row>
    <row r="118" spans="1:2" x14ac:dyDescent="0.2">
      <c r="A118" s="1" t="s">
        <v>2472</v>
      </c>
      <c r="B118" s="1" t="str">
        <f ca="1">IFERROR(__xludf.DUMFUNCTION("GOOGLETRANSLATE(A133,""id"",""en"")"),"  List    Pertalite Gasoline Solar Bbm Bb")</f>
        <v xml:space="preserve">  List    Pertalite Gasoline Solar Bbm Bb</v>
      </c>
    </row>
    <row r="119" spans="1:2" x14ac:dyDescent="0.2">
      <c r="A119" s="1" t="s">
        <v>2473</v>
      </c>
      <c r="B119" s="1" t="str">
        <f ca="1">IFERROR(__xludf.DUMFUNCTION("GOOGLETRANSLATE(A134,""id"",""en"")"),"Mandatory   Test")</f>
        <v>Mandatory   Test</v>
      </c>
    </row>
    <row r="120" spans="1:2" x14ac:dyDescent="0.2">
      <c r="A120" s="1" t="s">
        <v>2474</v>
      </c>
      <c r="B120" s="1" t="str">
        <f ca="1">IFERROR(__xludf.DUMFUNCTION("GOOGLETRANSLATE(A135,""id"",""en"")"),"the facts of the tug of trial of the  application buy a mandatory solar pertalite number")</f>
        <v>the facts of the tug of trial of the  application buy a mandatory solar pertalite number</v>
      </c>
    </row>
    <row r="121" spans="1:2" x14ac:dyDescent="0.2">
      <c r="A121" s="1" t="s">
        <v>2475</v>
      </c>
      <c r="B121" s="1" t="str">
        <f ca="1">IFERROR(__xludf.DUMFUNCTION("GOOGLETRANSLATE(A136,""id"",""en"")"),"Bandung City Residents Reject Pertalite Using the  Application")</f>
        <v>Bandung City Residents Reject Pertalite Using the  Application</v>
      </c>
    </row>
    <row r="122" spans="1:2" x14ac:dyDescent="0.2">
      <c r="A122" s="1" t="s">
        <v>2476</v>
      </c>
      <c r="B122" s="1" t="str">
        <f ca="1">IFERROR(__xludf.DUMFUNCTION("GOOGLETRANSLATE(A137,""id"",""en"")")," people are difficult")</f>
        <v xml:space="preserve"> people are difficult</v>
      </c>
    </row>
    <row r="123" spans="1:2" x14ac:dyDescent="0.2">
      <c r="A123" s="1" t="s">
        <v>2477</v>
      </c>
      <c r="B123" s="1" t="str">
        <f ca="1">IFERROR(__xludf.DUMFUNCTION("GOOGLETRANSLATE(A138,""id"",""en"")"),"Welcome July Download ")</f>
        <v xml:space="preserve">Welcome July Download </v>
      </c>
    </row>
    <row r="124" spans="1:2" x14ac:dyDescent="0.2">
      <c r="A124" s="1" t="s">
        <v>2478</v>
      </c>
      <c r="B124" s="1" t="str">
        <f ca="1">IFERROR(__xludf.DUMFUNCTION("GOOGLETRANSLATE(A139,""id"",""en"")"),"Min, the   account is still listing or not")</f>
        <v>Min, the   account is still listing or not</v>
      </c>
    </row>
    <row r="125" spans="1:2" x14ac:dyDescent="0.2">
      <c r="A125" s="1" t="s">
        <v>2479</v>
      </c>
      <c r="B125" s="1" t="str">
        <f ca="1">IFERROR(__xludf.DUMFUNCTION("GOOGLETRANSLATE(A141,""id"",""en"")"),"the base of  is to buy a fuel subsidy for the base to support the regulation of fuel subsidized subsidies for protected sarads for people to use  controlling fuel subsidized fuel control")</f>
        <v>the base of  is to buy a fuel subsidy for the base to support the regulation of fuel subsidized subsidies for protected sarads for people to use  controlling fuel subsidized fuel control</v>
      </c>
    </row>
    <row r="126" spans="1:2" x14ac:dyDescent="0.2">
      <c r="A126" s="1" t="s">
        <v>2480</v>
      </c>
      <c r="B126" s="1" t="str">
        <f ca="1">IFERROR(__xludf.DUMFUNCTION("GOOGLETRANSLATE(A142,""id"",""en"")"),"UUD The end of the business of the business money that I installed 's apkification")</f>
        <v>UUD The end of the business of the business money that I installed 's apkification</v>
      </c>
    </row>
    <row r="127" spans="1:2" x14ac:dyDescent="0.2">
      <c r="A127" s="1" t="s">
        <v>2481</v>
      </c>
      <c r="B127" s="1" t="str">
        <f ca="1">IFERROR(__xludf.DUMFUNCTION("GOOGLETRANSLATE(A143,""id"",""en"")"),"Old HP old school angkot driver difficult difficult ")</f>
        <v xml:space="preserve">Old HP old school angkot driver difficult difficult </v>
      </c>
    </row>
    <row r="128" spans="1:2" x14ac:dyDescent="0.2">
      <c r="A128" s="1" t="s">
        <v>7</v>
      </c>
      <c r="B128" s="1" t="str">
        <f ca="1">IFERROR(__xludf.DUMFUNCTION("GOOGLETRANSLATE(A144,""id"",""en"")"),"who bought subsidized fuel, more time, it hasn't been topped up")</f>
        <v>who bought subsidized fuel, more time, it hasn't been topped up</v>
      </c>
    </row>
    <row r="129" spans="1:2" x14ac:dyDescent="0.2">
      <c r="A129" s="1" t="s">
        <v>2482</v>
      </c>
      <c r="B129" s="1" t="str">
        <f ca="1">IFERROR(__xludf.DUMFUNCTION("GOOGLETRANSLATE(A145,""id"",""en"")"),"Reinstall the Digital Money  application application integration application with type application")</f>
        <v>Reinstall the Digital Money  application application integration application with type application</v>
      </c>
    </row>
    <row r="130" spans="1:2" x14ac:dyDescent="0.2">
      <c r="A130" s="1" t="s">
        <v>2483</v>
      </c>
      <c r="B130" s="1" t="str">
        <f ca="1">IFERROR(__xludf.DUMFUNCTION("GOOGLETRANSLATE(A146,""id"",""en"")"),"You guys, Alas , adjust to buy subsidized fuel to support the regulation of fuel subsidized subsidies, protected section for people to use  control of fuel subsidized fuel control")</f>
        <v>You guys, Alas , adjust to buy subsidized fuel to support the regulation of fuel subsidized subsidies, protected section for people to use  control of fuel subsidized fuel control</v>
      </c>
    </row>
    <row r="131" spans="1:2" x14ac:dyDescent="0.2">
      <c r="A131" s="1" t="s">
        <v>8</v>
      </c>
      <c r="B131" s="1" t="str">
        <f ca="1">IFERROR(__xludf.DUMFUNCTION("GOOGLETRANSLATE(A147,""id"",""en"")"),"pink one who replied")</f>
        <v>pink one who replied</v>
      </c>
    </row>
    <row r="132" spans="1:2" x14ac:dyDescent="0.2">
      <c r="A132" s="1" t="s">
        <v>2402</v>
      </c>
      <c r="B132" s="1" t="str">
        <f ca="1">IFERROR(__xludf.DUMFUNCTION("GOOGLETRANSLATE(A148,""id"",""en"")")," Linkaja Robbing Difficult")</f>
        <v xml:space="preserve"> Linkaja Robbing Difficult</v>
      </c>
    </row>
    <row r="133" spans="1:2" x14ac:dyDescent="0.2">
      <c r="A133" s="1" t="s">
        <v>2484</v>
      </c>
      <c r="B133" s="1" t="str">
        <f ca="1">IFERROR(__xludf.DUMFUNCTION("GOOGLETRANSLATE(A149,""id"",""en"")"),"List of complicated , it's better to just buy Pertamax tomorrow")</f>
        <v>List of complicated , it's better to just buy Pertamax tomorrow</v>
      </c>
    </row>
    <row r="134" spans="1:2" x14ac:dyDescent="0.2">
      <c r="A134" s="1" t="s">
        <v>2485</v>
      </c>
      <c r="B134" s="1" t="str">
        <f ca="1">IFERROR(__xludf.DUMFUNCTION("GOOGLETRANSLATE(A150,""id"",""en"")"),"list of buying pertalite using  open")</f>
        <v>list of buying pertalite using  open</v>
      </c>
    </row>
    <row r="135" spans="1:2" x14ac:dyDescent="0.2">
      <c r="A135" s="1" t="s">
        <v>2486</v>
      </c>
      <c r="B135" s="1" t="str">
        <f ca="1">IFERROR(__xludf.DUMFUNCTION("GOOGLETRANSLATE(A151,""id"",""en"")"),"the city of Bandung sells for the  application to buy fuel type of solar pertalite Friday via")</f>
        <v>the city of Bandung sells for the  application to buy fuel type of solar pertalite Friday via</v>
      </c>
    </row>
    <row r="136" spans="1:2" x14ac:dyDescent="0.2">
      <c r="A136" s="1" t="s">
        <v>2487</v>
      </c>
      <c r="B136" s="1" t="str">
        <f ca="1">IFERROR(__xludf.DUMFUNCTION("GOOGLETRANSLATE(A152,""id"",""en"")"),"list of fuel subsidies for  websites protection rights for community energy subsidies are vulnerable")</f>
        <v>list of fuel subsidies for  websites protection rights for community energy subsidies are vulnerable</v>
      </c>
    </row>
    <row r="137" spans="1:2" x14ac:dyDescent="0.2">
      <c r="A137" s="1" t="s">
        <v>2488</v>
      </c>
      <c r="B137" s="1" t="str">
        <f ca="1">IFERROR(__xludf.DUMFUNCTION("GOOGLETRANSLATE(A153,""id"",""en"")"),"nahloh hooks not with  to buy Pertalite solar gas cylinders kg")</f>
        <v>nahloh hooks not with  to buy Pertalite solar gas cylinders kg</v>
      </c>
    </row>
    <row r="138" spans="1:2" x14ac:dyDescent="0.2">
      <c r="A138" s="1" t="s">
        <v>2489</v>
      </c>
      <c r="B138" s="1" t="str">
        <f ca="1">IFERROR(__xludf.DUMFUNCTION("GOOGLETRANSLATE(A154,""id"",""en"")")," is cool")</f>
        <v xml:space="preserve"> is cool</v>
      </c>
    </row>
    <row r="139" spans="1:2" x14ac:dyDescent="0.2">
      <c r="A139" s="1" t="s">
        <v>2490</v>
      </c>
      <c r="B139" s="1" t="str">
        <f ca="1">IFERROR(__xludf.DUMFUNCTION("GOOGLETRANSLATE(A155,""id"",""en"")"),"who buy fuel subsidies, more time, don't top up the month of thumbs up jelly  link in opening Google Linkaja Layan Digital Money Telkomsel")</f>
        <v>who buy fuel subsidies, more time, don't top up the month of thumbs up jelly  link in opening Google Linkaja Layan Digital Money Telkomsel</v>
      </c>
    </row>
    <row r="140" spans="1:2" x14ac:dyDescent="0.2">
      <c r="A140" s="1" t="s">
        <v>2491</v>
      </c>
      <c r="B140" s="1" t="str">
        <f ca="1">IFERROR(__xludf.DUMFUNCTION("GOOGLETRANSLATE(A156,""id"",""en"")")," Application Easy BBM Subsidy")</f>
        <v xml:space="preserve"> Application Easy BBM Subsidy</v>
      </c>
    </row>
    <row r="141" spans="1:2" x14ac:dyDescent="0.2">
      <c r="A141" s="1" t="s">
        <v>2492</v>
      </c>
      <c r="B141" s="1" t="str">
        <f ca="1">IFERROR(__xludf.DUMFUNCTION("GOOGLETRANSLATE(A157,""id"",""en"")"),"Actually, the user user uses when the gas station is greedy and then I buy a list of  subsidies, how do you reject the motorbike.")</f>
        <v>Actually, the user user uses when the gas station is greedy and then I buy a list of  subsidies, how do you reject the motorbike.</v>
      </c>
    </row>
    <row r="142" spans="1:2" x14ac:dyDescent="0.2">
      <c r="A142" s="1" t="s">
        <v>2493</v>
      </c>
      <c r="B142" s="1" t="str">
        <f ca="1">IFERROR(__xludf.DUMFUNCTION("GOOGLETRANSLATE(A158,""id"",""en"")"),"Buy subsidized fuel via  that connects the state -shaped state links via links that take Rp top up just count the people's money that is palak linkaja bought bbm mikiiir")</f>
        <v>Buy subsidized fuel via  that connects the state -shaped state links via links that take Rp top up just count the people's money that is palak linkaja bought bbm mikiiir</v>
      </c>
    </row>
    <row r="143" spans="1:2" x14ac:dyDescent="0.2">
      <c r="A143" s="1" t="s">
        <v>2494</v>
      </c>
      <c r="B143" s="1" t="str">
        <f ca="1">IFERROR(__xludf.DUMFUNCTION("GOOGLETRANSLATE(A159,""id"",""en"")"),"tell me to install  dlu")</f>
        <v>tell me to install  dlu</v>
      </c>
    </row>
    <row r="144" spans="1:2" x14ac:dyDescent="0.2">
      <c r="A144" s="1" t="s">
        <v>9</v>
      </c>
      <c r="B144" s="1" t="str">
        <f ca="1">IFERROR(__xludf.DUMFUNCTION("GOOGLETRANSLATE(A160,""id"",""en"")"),"citizens of the city of Yogyakarta are complained")</f>
        <v>citizens of the city of Yogyakarta are complained</v>
      </c>
    </row>
    <row r="145" spans="1:2" x14ac:dyDescent="0.2">
      <c r="A145" s="1" t="s">
        <v>2495</v>
      </c>
      <c r="B145" s="1" t="str">
        <f ca="1">IFERROR(__xludf.DUMFUNCTION("GOOGLETRANSLATE(A161,""id"",""en"")"),"SIYAP BENEFITS OF ")</f>
        <v xml:space="preserve">SIYAP BENEFITS OF </v>
      </c>
    </row>
    <row r="146" spans="1:2" x14ac:dyDescent="0.2">
      <c r="A146" s="1" t="s">
        <v>2496</v>
      </c>
      <c r="B146" s="1" t="str">
        <f ca="1">IFERROR(__xludf.DUMFUNCTION("GOOGLETRANSLATE(A162,""id"",""en"")")," Admin fee Rp")</f>
        <v xml:space="preserve"> Admin fee Rp</v>
      </c>
    </row>
    <row r="147" spans="1:2" x14ac:dyDescent="0.2">
      <c r="A147" s="1" t="s">
        <v>2497</v>
      </c>
      <c r="B147" s="1" t="str">
        <f ca="1">IFERROR(__xludf.DUMFUNCTION("GOOGLETRANSLATE(A163,""id"",""en"")"),"for  the requirement for buying fuel fuel fuel fuel for Pertalite Solar  Application  Salur BBM Subsidized Sasar")</f>
        <v>for  the requirement for buying fuel fuel fuel fuel for Pertalite Solar  Application  Salur BBM Subsidized Sasar</v>
      </c>
    </row>
    <row r="148" spans="1:2" x14ac:dyDescent="0.2">
      <c r="A148" s="1" t="s">
        <v>2463</v>
      </c>
      <c r="B148" s="1" t="str">
        <f ca="1">IFERROR(__xludf.DUMFUNCTION("GOOGLETRANSLATE(A164,""id"",""en"")")," Admin fee Rp")</f>
        <v xml:space="preserve"> Admin fee Rp</v>
      </c>
    </row>
    <row r="149" spans="1:2" x14ac:dyDescent="0.2">
      <c r="A149" s="1" t="s">
        <v>2498</v>
      </c>
      <c r="B149" s="1" t="str">
        <f ca="1">IFERROR(__xludf.DUMFUNCTION("GOOGLETRANSLATE(A165,""id"",""en"")"),"  List    Pertalite Solar Gasoline BBM BBM BBMBersidi Subsidies KNMMComunity Knmcomunity BrotherJAWIA NKRAHARGAMATI NKRIHARGAMATI")</f>
        <v xml:space="preserve">  List    Pertalite Solar Gasoline BBM BBM BBMBersidi Subsidies KNMMComunity Knmcomunity BrotherJAWIA NKRAHARGAMATI NKRIHARGAMATI</v>
      </c>
    </row>
    <row r="150" spans="1:2" x14ac:dyDescent="0.2">
      <c r="A150" s="1" t="s">
        <v>2443</v>
      </c>
      <c r="B150" s="1" t="str">
        <f ca="1">IFERROR(__xludf.DUMFUNCTION("GOOGLETRANSLATE(A166,""id"",""en"")"),"LAKU LIST OF BBM SUBSIDY  WEBSITE WEBSITE")</f>
        <v>LAKU LIST OF BBM SUBSIDY  WEBSITE WEBSITE</v>
      </c>
    </row>
    <row r="151" spans="1:2" x14ac:dyDescent="0.2">
      <c r="A151" s="1" t="s">
        <v>2499</v>
      </c>
      <c r="B151" s="1" t="str">
        <f ca="1">IFERROR(__xludf.DUMFUNCTION("GOOGLETRANSLATE(A167,""id"",""en"")"),"Yokk  application")</f>
        <v>Yokk  application</v>
      </c>
    </row>
    <row r="152" spans="1:2" x14ac:dyDescent="0.2">
      <c r="A152" s="1" t="s">
        <v>2500</v>
      </c>
      <c r="B152" s="1" t="str">
        <f ca="1">IFERROR(__xludf.DUMFUNCTION("GOOGLETRANSLATE(A168,""id"",""en"")")," Google Play Store Application Flood Star Review As a result of complaints of mass agam")</f>
        <v xml:space="preserve"> Google Play Store Application Flood Star Review As a result of complaints of mass agam</v>
      </c>
    </row>
    <row r="153" spans="1:2" x14ac:dyDescent="0.2">
      <c r="A153" s="1" t="s">
        <v>2501</v>
      </c>
      <c r="B153" s="1" t="str">
        <f ca="1">IFERROR(__xludf.DUMFUNCTION("GOOGLETRANSLATE(A169,""id"",""en"")"),"poor people smart phones buy lpg kg using ")</f>
        <v xml:space="preserve">poor people smart phones buy lpg kg using </v>
      </c>
    </row>
    <row r="154" spans="1:2" x14ac:dyDescent="0.2">
      <c r="A154" s="1" t="s">
        <v>2502</v>
      </c>
      <c r="B154" s="1" t="str">
        <f ca="1">IFERROR(__xludf.DUMFUNCTION("GOOGLETRANSLATE(A170,""id"",""en"")"),"the city of Bandung sells for the  application to buy fuel type of solar pertalite Friday")</f>
        <v>the city of Bandung sells for the  application to buy fuel type of solar pertalite Friday</v>
      </c>
    </row>
    <row r="155" spans="1:2" x14ac:dyDescent="0.2">
      <c r="A155" s="1" t="s">
        <v>2503</v>
      </c>
      <c r="B155" s="1" t="str">
        <f ca="1">IFERROR(__xludf.DUMFUNCTION("GOOGLETRANSLATE(A171,""id"",""en"")"),"Anxiously Congratulations on Buying BBM Residents Kuningan Refuses to ")</f>
        <v xml:space="preserve">Anxiously Congratulations on Buying BBM Residents Kuningan Refuses to </v>
      </c>
    </row>
    <row r="156" spans="1:2" x14ac:dyDescent="0.2">
      <c r="A156" s="1" t="s">
        <v>2504</v>
      </c>
      <c r="B156" s="1" t="str">
        <f ca="1">IFERROR(__xludf.DUMFUNCTION("GOOGLETRANSLATE(A172,""id"",""en"")")," Response Issue Buying LPG Gas Using  Application")</f>
        <v xml:space="preserve"> Response Issue Buying LPG Gas Using  Application</v>
      </c>
    </row>
    <row r="157" spans="1:2" x14ac:dyDescent="0.2">
      <c r="A157" s="1" t="s">
        <v>2505</v>
      </c>
      <c r="B157" s="1" t="str">
        <f ca="1">IFERROR(__xludf.DUMFUNCTION("GOOGLETRANSLATE(A173,""id"",""en"")"),"Playing HP prohibits gas stations buy pertalite using the  application if it's gin who is stupid")</f>
        <v>Playing HP prohibits gas stations buy pertalite using the  application if it's gin who is stupid</v>
      </c>
    </row>
    <row r="158" spans="1:2" x14ac:dyDescent="0.2">
      <c r="A158" s="1" t="s">
        <v>2506</v>
      </c>
      <c r="B158" s="1" t="str">
        <f ca="1">IFERROR(__xludf.DUMFUNCTION("GOOGLETRANSLATE(A174,""id"",""en"")")," already see playstore blom")</f>
        <v xml:space="preserve"> already see playstore blom</v>
      </c>
    </row>
    <row r="159" spans="1:2" x14ac:dyDescent="0.2">
      <c r="A159" s="1" t="s">
        <v>2507</v>
      </c>
      <c r="B159" s="1" t="str">
        <f ca="1">IFERROR(__xludf.DUMFUNCTION("GOOGLETRANSLATE(A175,""id"",""en"")")," just buy a solar pertalite if you buy Pertamax, don't use it")</f>
        <v xml:space="preserve"> just buy a solar pertalite if you buy Pertamax, don't use it</v>
      </c>
    </row>
    <row r="160" spans="1:2" x14ac:dyDescent="0.2">
      <c r="A160" s="1" t="s">
        <v>10</v>
      </c>
      <c r="B160" s="1" t="str">
        <f ca="1">IFERROR(__xludf.DUMFUNCTION("GOOGLETRANSLATE(A176,""id"",""en"")"),"The nation of Goblox is not advanced if read the news cm angry the oil subsidy data uses using pl or ktp")</f>
        <v>The nation of Goblox is not advanced if read the news cm angry the oil subsidy data uses using pl or ktp</v>
      </c>
    </row>
    <row r="161" spans="1:2" x14ac:dyDescent="0.2">
      <c r="A161" s="1" t="s">
        <v>2508</v>
      </c>
      <c r="B161" s="1" t="str">
        <f ca="1">IFERROR(__xludf.DUMFUNCTION("GOOGLETRANSLATE(A177,""id"",""en"")"),"why to use  to the people who are  who cars CC SPd Motor CC forced what the base of  forced via")</f>
        <v>why to use  to the people who are  who cars CC SPd Motor CC forced what the base of  forced via</v>
      </c>
    </row>
    <row r="162" spans="1:2" x14ac:dyDescent="0.2">
      <c r="A162" s="1" t="s">
        <v>2485</v>
      </c>
      <c r="B162" s="1" t="str">
        <f ca="1">IFERROR(__xludf.DUMFUNCTION("GOOGLETRANSLATE(A178,""id"",""en"")"),"list of buying pertalite using  open")</f>
        <v>list of buying pertalite using  open</v>
      </c>
    </row>
    <row r="163" spans="1:2" x14ac:dyDescent="0.2">
      <c r="A163" s="1" t="s">
        <v>2509</v>
      </c>
      <c r="B163" s="1" t="str">
        <f ca="1">IFERROR(__xludf.DUMFUNCTION("GOOGLETRANSLATE(A179,""id"",""en"")"),"Uud Ujung Ujung Money Business that Installs 's Apkification that will result in business business HP Sophisticated Quota Business What is the HP if the quota is not wifi quota explores the bank's application business application")</f>
        <v>Uud Ujung Ujung Money Business that Installs 's Apkification that will result in business business HP Sophisticated Quota Business What is the HP if the quota is not wifi quota explores the bank's application business application</v>
      </c>
    </row>
    <row r="164" spans="1:2" x14ac:dyDescent="0.2">
      <c r="A164" s="1" t="s">
        <v>2510</v>
      </c>
      <c r="B164" s="1" t="str">
        <f ca="1">IFERROR(__xludf.DUMFUNCTION("GOOGLETRANSLATE(A180,""id"",""en"")")," application cut 's command load")</f>
        <v xml:space="preserve"> application cut 's command load</v>
      </c>
    </row>
    <row r="165" spans="1:2" x14ac:dyDescent="0.2">
      <c r="A165" s="1" t="s">
        <v>2511</v>
      </c>
      <c r="B165" s="1" t="str">
        <f ca="1">IFERROR(__xludf.DUMFUNCTION("GOOGLETRANSLATE(A181,""id"",""en"")"),"Password claims to list QR Code Subsidized  Application")</f>
        <v>Password claims to list QR Code Subsidized  Application</v>
      </c>
    </row>
    <row r="166" spans="1:2" x14ac:dyDescent="0.2">
      <c r="A166" s="1" t="s">
        <v>2512</v>
      </c>
      <c r="B166" s="1" t="str">
        <f ca="1">IFERROR(__xludf.DUMFUNCTION("GOOGLETRANSLATE(A182,""id"",""en"")"),"Install  ken pertama heart hehehe")</f>
        <v>Install  ken pertama heart hehehe</v>
      </c>
    </row>
    <row r="167" spans="1:2" x14ac:dyDescent="0.2">
      <c r="A167" s="1" t="s">
        <v>2513</v>
      </c>
      <c r="B167" s="1" t="str">
        <f ca="1">IFERROR(__xludf.DUMFUNCTION("GOOGLETRANSLATE(A183,""id"",""en"")"),"Happy July forgot to install ")</f>
        <v xml:space="preserve">Happy July forgot to install </v>
      </c>
    </row>
    <row r="168" spans="1:2" x14ac:dyDescent="0.2">
      <c r="A168" s="1" t="s">
        <v>2514</v>
      </c>
      <c r="B168" s="1" t="str">
        <f ca="1">IFERROR(__xludf.DUMFUNCTION("GOOGLETRANSLATE(A184,""id"",""en"")"),"Really fill gasoline using ")</f>
        <v xml:space="preserve">Really fill gasoline using </v>
      </c>
    </row>
    <row r="169" spans="1:2" x14ac:dyDescent="0.2">
      <c r="A169" s="1" t="s">
        <v>2460</v>
      </c>
      <c r="B169" s="1" t="str">
        <f ca="1">IFERROR(__xludf.DUMFUNCTION("GOOGLETRANSLATE(A185,""id"",""en"")"),"Splashy Netizen List  July Error List Number")</f>
        <v>Splashy Netizen List  July Error List Number</v>
      </c>
    </row>
    <row r="170" spans="1:2" x14ac:dyDescent="0.2">
      <c r="A170" s="1" t="s">
        <v>2515</v>
      </c>
      <c r="B170" s="1" t="str">
        <f ca="1">IFERROR(__xludf.DUMFUNCTION("GOOGLETRANSLATE(A186,""id"",""en"")"),"read out because I misunderstand  rodiga")</f>
        <v>read out because I misunderstand  rodiga</v>
      </c>
    </row>
    <row r="171" spans="1:2" x14ac:dyDescent="0.2">
      <c r="A171" s="1" t="s">
        <v>2516</v>
      </c>
      <c r="B171" s="1" t="str">
        <f ca="1">IFERROR(__xludf.DUMFUNCTION("GOOGLETRANSLATE(A187,""id"",""en"")"),"Okay JULI BINTANG  WKWK")</f>
        <v>Okay JULI BINTANG  WKWK</v>
      </c>
    </row>
    <row r="172" spans="1:2" x14ac:dyDescent="0.2">
      <c r="A172" s="1" t="s">
        <v>2517</v>
      </c>
      <c r="B172" s="1" t="str">
        <f ca="1">IFERROR(__xludf.DUMFUNCTION("GOOGLETRANSLATE(A188,""id"",""en"")"),"Silent Testing Trial Buying LPG Kg Must Register ")</f>
        <v xml:space="preserve">Silent Testing Trial Buying LPG Kg Must Register </v>
      </c>
    </row>
    <row r="173" spans="1:2" x14ac:dyDescent="0.2">
      <c r="A173" s="1" t="s">
        <v>2518</v>
      </c>
      <c r="B173" s="1" t="str">
        <f ca="1">IFERROR(__xludf.DUMFUNCTION("GOOGLETRANSLATE(A189,""id"",""en"")"),"Min, list of  error applications, send the OTP code")</f>
        <v>Min, list of  error applications, send the OTP code</v>
      </c>
    </row>
    <row r="174" spans="1:2" x14ac:dyDescent="0.2">
      <c r="A174" s="1" t="s">
        <v>2519</v>
      </c>
      <c r="B174" s="1" t="str">
        <f ca="1">IFERROR(__xludf.DUMFUNCTION("GOOGLETRANSLATE(A190,""id"",""en"")"),"Let's use  Prosperous Indonesian people, the price of the smoking stroke stock.")</f>
        <v>Let's use  Prosperous Indonesian people, the price of the smoking stroke stock.</v>
      </c>
    </row>
    <row r="175" spans="1:2" x14ac:dyDescent="0.2">
      <c r="A175" s="1" t="s">
        <v>2520</v>
      </c>
      <c r="B175" s="1" t="str">
        <f ca="1">IFERROR(__xludf.DUMFUNCTION("GOOGLETRANSLATE(A191,""id"",""en"")"),"not exciting  can be link")</f>
        <v>not exciting  can be link</v>
      </c>
    </row>
    <row r="176" spans="1:2" x14ac:dyDescent="0.2">
      <c r="A176" s="1" t="s">
        <v>2463</v>
      </c>
      <c r="B176" s="1" t="str">
        <f ca="1">IFERROR(__xludf.DUMFUNCTION("GOOGLETRANSLATE(A192,""id"",""en"")")," Admin fee Rp")</f>
        <v xml:space="preserve"> Admin fee Rp</v>
      </c>
    </row>
    <row r="177" spans="1:2" x14ac:dyDescent="0.2">
      <c r="A177" s="1" t="s">
        <v>2521</v>
      </c>
      <c r="B177" s="1" t="str">
        <f ca="1">IFERROR(__xludf.DUMFUNCTION("GOOGLETRANSLATE(A193,""id"",""en"")"),"Buy oil using app protected apps buy pertalite using h app buy cigarettes using udut aslinyinrakyat app")</f>
        <v>Buy oil using app protected apps buy pertalite using h app buy cigarettes using udut aslinyinrakyat app</v>
      </c>
    </row>
    <row r="178" spans="1:2" x14ac:dyDescent="0.2">
      <c r="A178" s="1" t="s">
        <v>2522</v>
      </c>
      <c r="B178" s="1" t="str">
        <f ca="1">IFERROR(__xludf.DUMFUNCTION("GOOGLETRANSLATE(A194,""id"",""en"")"),"opponent the  kawan application")</f>
        <v>opponent the  kawan application</v>
      </c>
    </row>
    <row r="179" spans="1:2" x14ac:dyDescent="0.2">
      <c r="A179" s="1" t="s">
        <v>2523</v>
      </c>
      <c r="B179" s="1" t="str">
        <f ca="1">IFERROR(__xludf.DUMFUNCTION("GOOGLETRANSLATE(A195,""id"",""en"")"),"Pertalite Buy LPG Kilogram Using the  Application")</f>
        <v>Pertalite Buy LPG Kilogram Using the  Application</v>
      </c>
    </row>
    <row r="180" spans="1:2" x14ac:dyDescent="0.2">
      <c r="A180" s="1" t="s">
        <v>2524</v>
      </c>
      <c r="B180" s="1" t="str">
        <f ca="1">IFERROR(__xludf.DUMFUNCTION("GOOGLETRANSLATE(A196,""id"",""en"")"),"Gin yak uses a photo of a photo of a loan -rich model, the contents of the gasoline are afraid of being wrong, the data is already the presidential election, the regional election, the registration of  sangebanget petronasmalalayaopen, Haribhay"&amp;"angket")</f>
        <v>Gin yak uses a photo of a photo of a loan -rich model, the contents of the gasoline are afraid of being wrong, the data is already the presidential election, the regional election, the registration of  sangebanget petronasmalalayaopen, Haribhayangket</v>
      </c>
    </row>
    <row r="181" spans="1:2" x14ac:dyDescent="0.2">
      <c r="A181" s="1" t="s">
        <v>2525</v>
      </c>
      <c r="B181" s="1" t="str">
        <f ca="1">IFERROR(__xludf.DUMFUNCTION("GOOGLETRANSLATE(A197,""id"",""en"")"),"Reinstall the Digital Money  application application integration application with the application type Linkaja so for buying transactions to buy BBM buying Dana Linkaja curiously the July program")</f>
        <v>Reinstall the Digital Money  application application integration application with the application type Linkaja so for buying transactions to buy BBM buying Dana Linkaja curiously the July program</v>
      </c>
    </row>
    <row r="182" spans="1:2" x14ac:dyDescent="0.2">
      <c r="A182" s="1" t="s">
        <v>2526</v>
      </c>
      <c r="B182" s="1" t="str">
        <f ca="1">IFERROR(__xludf.DUMFUNCTION("GOOGLETRANSLATE(A198,""id"",""en"")"),"follow ")</f>
        <v xml:space="preserve">follow </v>
      </c>
    </row>
    <row r="183" spans="1:2" x14ac:dyDescent="0.2">
      <c r="A183" s="1" t="s">
        <v>2527</v>
      </c>
      <c r="B183" s="1" t="str">
        <f ca="1">IFERROR(__xludf.DUMFUNCTION("GOOGLETRANSLATE(A199,""id"",""en"")"),"Officially Buy BBM ")</f>
        <v xml:space="preserve">Officially Buy BBM </v>
      </c>
    </row>
    <row r="184" spans="1:2" x14ac:dyDescent="0.2">
      <c r="A184" s="1" t="s">
        <v>2528</v>
      </c>
      <c r="B184" s="1" t="str">
        <f ca="1">IFERROR(__xludf.DUMFUNCTION("GOOGLETRANSLATE(A200,""id"",""en"")"),"Trial Buy Pertalite Using ")</f>
        <v xml:space="preserve">Trial Buy Pertalite Using </v>
      </c>
    </row>
    <row r="185" spans="1:2" x14ac:dyDescent="0.2">
      <c r="A185" s="1" t="s">
        <v>2529</v>
      </c>
      <c r="B185" s="1" t="str">
        <f ca="1">IFERROR(__xludf.DUMFUNCTION("GOOGLETRANSLATE(A201,""id"",""en"")"),"Migor Indonesia Buying using the Protection Care Application Buy Pertalite Mai Must Use  Kar")</f>
        <v>Migor Indonesia Buying using the Protection Care Application Buy Pertalite Mai Must Use  Kar</v>
      </c>
    </row>
    <row r="186" spans="1:2" x14ac:dyDescent="0.2">
      <c r="A186" s="1" t="s">
        <v>11</v>
      </c>
      <c r="B186" s="1" t="str">
        <f ca="1">IFERROR(__xludf.DUMFUNCTION("GOOGLETRANSLATE(A202,""id"",""en"")"),"wrong form of business to reflect data to be ready ono")</f>
        <v>wrong form of business to reflect data to be ready ono</v>
      </c>
    </row>
    <row r="187" spans="1:2" x14ac:dyDescent="0.2">
      <c r="A187" s="1" t="s">
        <v>2530</v>
      </c>
      <c r="B187" s="1" t="str">
        <f ca="1">IFERROR(__xludf.DUMFUNCTION("GOOGLETRANSLATE(A203,""id"",""en"")"),"Buy gasoline, open the upholstery to hold the hose, sorry, I have to do the ")</f>
        <v xml:space="preserve">Buy gasoline, open the upholstery to hold the hose, sorry, I have to do the </v>
      </c>
    </row>
    <row r="188" spans="1:2" x14ac:dyDescent="0.2">
      <c r="A188" s="1" t="s">
        <v>2531</v>
      </c>
      <c r="B188" s="1" t="str">
        <f ca="1">IFERROR(__xludf.DUMFUNCTION("GOOGLETRANSLATE(A204,""id"",""en"")"),"Skeptic like a good behavior  good behavior  benefits control subsidies fuel commands pertalite bbm subsidized sarapan orders")</f>
        <v>Skeptic like a good behavior  good behavior  benefits control subsidies fuel commands pertalite bbm subsidized sarapan orders</v>
      </c>
    </row>
    <row r="189" spans="1:2" x14ac:dyDescent="0.2">
      <c r="A189" s="1" t="s">
        <v>2532</v>
      </c>
      <c r="B189" s="1" t="str">
        <f ca="1">IFERROR(__xludf.DUMFUNCTION("GOOGLETRANSLATE(A205,""id"",""en"")"),"Spill, please buy BBM using the  application")</f>
        <v>Spill, please buy BBM using the  application</v>
      </c>
    </row>
    <row r="190" spans="1:2" x14ac:dyDescent="0.2">
      <c r="A190" s="1" t="s">
        <v>2533</v>
      </c>
      <c r="B190" s="1" t="str">
        <f ca="1">IFERROR(__xludf.DUMFUNCTION("GOOGLETRANSLATE(A207,""id"",""en"")"),"PT  Persero Officially Trial Buying Pertalite Solar List  July ")</f>
        <v xml:space="preserve">PT  Persero Officially Trial Buying Pertalite Solar List  July </v>
      </c>
    </row>
    <row r="191" spans="1:2" x14ac:dyDescent="0.2">
      <c r="A191" s="1" t="s">
        <v>2373</v>
      </c>
      <c r="B191" s="1" t="str">
        <f ca="1">IFERROR(__xludf.DUMFUNCTION("GOOGLETRANSLATE(A208,""id"",""en"")"),"Pertalite Buy Lpg Kg List ")</f>
        <v xml:space="preserve">Pertalite Buy Lpg Kg List </v>
      </c>
    </row>
    <row r="192" spans="1:2" x14ac:dyDescent="0.2">
      <c r="A192" s="1" t="s">
        <v>2463</v>
      </c>
      <c r="B192" s="1" t="str">
        <f ca="1">IFERROR(__xludf.DUMFUNCTION("GOOGLETRANSLATE(A209,""id"",""en"")")," Admin fee Rp")</f>
        <v xml:space="preserve"> Admin fee Rp</v>
      </c>
    </row>
    <row r="193" spans="1:2" x14ac:dyDescent="0.2">
      <c r="A193" s="1" t="s">
        <v>2534</v>
      </c>
      <c r="B193" s="1" t="str">
        <f ca="1">IFERROR(__xludf.DUMFUNCTION("GOOGLETRANSLATE(A210,""id"",""en"")"),"Buy Migor must use KTP, buy pertalite must use the  application if the people are super tight")</f>
        <v>Buy Migor must use KTP, buy pertalite must use the  application if the people are super tight</v>
      </c>
    </row>
    <row r="194" spans="1:2" x14ac:dyDescent="0.2">
      <c r="A194" s="1" t="s">
        <v>2535</v>
      </c>
      <c r="B194" s="1" t="str">
        <f ca="1">IFERROR(__xludf.DUMFUNCTION("GOOGLETRANSLATE(A211,""id"",""en"")"),"Met Juli forgot the download of  natural gasoline")</f>
        <v>Met Juli forgot the download of  natural gasoline</v>
      </c>
    </row>
    <row r="195" spans="1:2" x14ac:dyDescent="0.2">
      <c r="A195" s="1" t="s">
        <v>12</v>
      </c>
      <c r="B195" s="1" t="str">
        <f ca="1">IFERROR(__xludf.DUMFUNCTION("GOOGLETRANSLATE(A212,""id"",""en"")"),"Lhoh")</f>
        <v>Lhoh</v>
      </c>
    </row>
    <row r="196" spans="1:2" x14ac:dyDescent="0.2">
      <c r="A196" s="1" t="s">
        <v>2536</v>
      </c>
      <c r="B196" s="1" t="str">
        <f ca="1">IFERROR(__xludf.DUMFUNCTION("GOOGLETRANSLATE(A213,""id"",""en"")"),"Opened Zz List  Buy Pertalite")</f>
        <v>Opened Zz List  Buy Pertalite</v>
      </c>
    </row>
    <row r="197" spans="1:2" x14ac:dyDescent="0.2">
      <c r="A197" s="1" t="s">
        <v>2537</v>
      </c>
      <c r="B197" s="1" t="str">
        <f ca="1">IFERROR(__xludf.DUMFUNCTION("GOOGLETRANSLATE(A214,""id"",""en"")"),"Already fill in pertalite using  bestie")</f>
        <v>Already fill in pertalite using  bestie</v>
      </c>
    </row>
    <row r="198" spans="1:2" x14ac:dyDescent="0.2">
      <c r="A198" s="1" t="s">
        <v>13</v>
      </c>
      <c r="B198" s="1" t="str">
        <f ca="1">IFERROR(__xludf.DUMFUNCTION("GOOGLETRANSLATE(A216,""id"",""en"")"),"a special list of motorcycle wheels kendara")</f>
        <v>a special list of motorcycle wheels kendara</v>
      </c>
    </row>
    <row r="199" spans="1:2" x14ac:dyDescent="0.2">
      <c r="A199" s="1" t="s">
        <v>2538</v>
      </c>
      <c r="B199" s="1" t="str">
        <f ca="1">IFERROR(__xludf.DUMFUNCTION("GOOGLETRANSLATE(A217,""id"",""en"")"),"guess the  application kyk stupor")</f>
        <v>guess the  application kyk stupor</v>
      </c>
    </row>
    <row r="200" spans="1:2" x14ac:dyDescent="0.2">
      <c r="A200" s="1" t="s">
        <v>2539</v>
      </c>
      <c r="B200" s="1" t="str">
        <f ca="1">IFERROR(__xludf.DUMFUNCTION("GOOGLETRANSLATE(A218,""id"",""en"")"),"Kl Kendara is included in the category of subsidized published QR Code App  SPBU LIKIN QRCode for transactions using the cash link")</f>
        <v>Kl Kendara is included in the category of subsidized published QR Code App  SPBU LIKIN QRCode for transactions using the cash link</v>
      </c>
    </row>
    <row r="201" spans="1:2" x14ac:dyDescent="0.2">
      <c r="A201" s="1" t="s">
        <v>949</v>
      </c>
      <c r="B201" s="1" t="str">
        <f ca="1">IFERROR(__xludf.DUMFUNCTION("GOOGLETRANSLATE(A219,""id"",""en"")"),"for one of the Salar SUBSIDID BBM  List Verification List for BBM Web Subsidies")</f>
        <v>for one of the Salar SUBSIDID BBM  List Verification List for BBM Web Subsidies</v>
      </c>
    </row>
    <row r="202" spans="1:2" x14ac:dyDescent="0.2">
      <c r="A202" s="1" t="s">
        <v>2540</v>
      </c>
      <c r="B202" s="1" t="str">
        <f ca="1">IFERROR(__xludf.DUMFUNCTION("GOOGLETRANSLATE(A220,""id"",""en"")"),"yes, if you don't have a motorbike, don't install the  application")</f>
        <v>yes, if you don't have a motorbike, don't install the  application</v>
      </c>
    </row>
    <row r="203" spans="1:2" x14ac:dyDescent="0.2">
      <c r="A203" s="1" t="s">
        <v>2541</v>
      </c>
      <c r="B203" s="1" t="str">
        <f ca="1">IFERROR(__xludf.DUMFUNCTION("GOOGLETRANSLATE(A221,""id"",""en"")"),"PT  Patra Niaga Opens the Identity List of the  July Website Identity")</f>
        <v>PT  Patra Niaga Opens the Identity List of the  July Website Identity</v>
      </c>
    </row>
    <row r="204" spans="1:2" x14ac:dyDescent="0.2">
      <c r="A204" s="1" t="s">
        <v>2542</v>
      </c>
      <c r="B204" s="1" t="str">
        <f ca="1">IFERROR(__xludf.DUMFUNCTION("GOOGLETRANSLATE(A222,""id"",""en"")"),"Kendara using a friend's motorbike, how about ")</f>
        <v xml:space="preserve">Kendara using a friend's motorbike, how about </v>
      </c>
    </row>
    <row r="205" spans="1:2" x14ac:dyDescent="0.2">
      <c r="A205" s="1" t="s">
        <v>2543</v>
      </c>
      <c r="B205" s="1" t="str">
        <f ca="1">IFERROR(__xludf.DUMFUNCTION("GOOGLETRANSLATE(A223,""id"",""en"")"),"the wrong ideology of the app  for the app's list of vehicles so the list of  cars is certainly qpaka qpakan decent subsidies")</f>
        <v>the wrong ideology of the app  for the app's list of vehicles so the list of  cars is certainly qpaka qpakan decent subsidies</v>
      </c>
    </row>
    <row r="206" spans="1:2" x14ac:dyDescent="0.2">
      <c r="A206" s="1" t="s">
        <v>2544</v>
      </c>
      <c r="B206" s="1" t="str">
        <f ca="1">IFERROR(__xludf.DUMFUNCTION("GOOGLETRANSLATE(A224,""id"",""en"")"),"PT  Patra Niaga Opens the Identity of the  Website Identity July List for QR Code Buying BBM Subsidies  SPBU")</f>
        <v>PT  Patra Niaga Opens the Identity of the  Website Identity July List for QR Code Buying BBM Subsidies  SPBU</v>
      </c>
    </row>
    <row r="207" spans="1:2" x14ac:dyDescent="0.2">
      <c r="A207" s="1" t="s">
        <v>2545</v>
      </c>
      <c r="B207" s="1" t="str">
        <f ca="1">IFERROR(__xludf.DUMFUNCTION("GOOGLETRANSLATE(A225,""id"",""en"")"),"wise socialization of people who borrowed a friend's car filling a gasoline with a friend's cellphone that is  application")</f>
        <v>wise socialization of people who borrowed a friend's car filling a gasoline with a friend's cellphone that is  application</v>
      </c>
    </row>
    <row r="208" spans="1:2" x14ac:dyDescent="0.2">
      <c r="A208" s="1" t="s">
        <v>2373</v>
      </c>
      <c r="B208" s="1" t="str">
        <f ca="1">IFERROR(__xludf.DUMFUNCTION("GOOGLETRANSLATE(A226,""id"",""en"")"),"Pertalite Buy Lpg Kg List ")</f>
        <v xml:space="preserve">Pertalite Buy Lpg Kg List </v>
      </c>
    </row>
    <row r="209" spans="1:2" x14ac:dyDescent="0.2">
      <c r="A209" s="1" t="s">
        <v>2546</v>
      </c>
      <c r="B209" s="1" t="str">
        <f ca="1">IFERROR(__xludf.DUMFUNCTION("GOOGLETRANSLATE(A227,""id"",""en"")"),"In the morning the filling of the gasoline can't use the debit, select cash using  if I'm not mistaken connect the list can't be verified, the wrong number of the OTP code has entered the Monmaap Hp Kudu Piye Ahok")</f>
        <v>In the morning the filling of the gasoline can't use the debit, select cash using  if I'm not mistaken connect the list can't be verified, the wrong number of the OTP code has entered the Monmaap Hp Kudu Piye Ahok</v>
      </c>
    </row>
    <row r="210" spans="1:2" x14ac:dyDescent="0.2">
      <c r="A210" s="1" t="s">
        <v>2547</v>
      </c>
      <c r="B210" s="1" t="str">
        <f ca="1">IFERROR(__xludf.DUMFUNCTION("GOOGLETRANSLATE(A228,""id"",""en"")")," Benefits Benefits of Control Subsidies BBM PERTALITE commands  Application Easily Orders Monitoring Community Benefits")</f>
        <v xml:space="preserve"> Benefits Benefits of Control Subsidies BBM PERTALITE commands  Application Easily Orders Monitoring Community Benefits</v>
      </c>
    </row>
    <row r="211" spans="1:2" x14ac:dyDescent="0.2">
      <c r="A211" s="1" t="s">
        <v>14</v>
      </c>
      <c r="B211" s="1" t="str">
        <f ca="1">IFERROR(__xludf.DUMFUNCTION("GOOGLETRANSLATE(A229,""id"",""en"")"),"Laks access to buying regional pertalite fuel")</f>
        <v>Laks access to buying regional pertalite fuel</v>
      </c>
    </row>
    <row r="212" spans="1:2" x14ac:dyDescent="0.2">
      <c r="A212" s="1" t="s">
        <v>2548</v>
      </c>
      <c r="B212" s="1" t="str">
        <f ca="1">IFERROR(__xludf.DUMFUNCTION("GOOGLETRANSLATE(A230,""id"",""en"")")," is hilarious if you want to fill in the solar kudu check the plate numbers the limit of the day lg already crowded  tbtb")</f>
        <v xml:space="preserve"> is hilarious if you want to fill in the solar kudu check the plate numbers the limit of the day lg already crowded  tbtb</v>
      </c>
    </row>
    <row r="213" spans="1:2" x14ac:dyDescent="0.2">
      <c r="A213" s="1" t="s">
        <v>2549</v>
      </c>
      <c r="B213" s="1" t="str">
        <f ca="1">IFERROR(__xludf.DUMFUNCTION("GOOGLETRANSLATE(A231,""id"",""en"")"),"Let's Support Wisely Orders for Salar Salur Bbm Subsidies Social Duties Pertalite Benefits of  Application Technology Effective Solution Press the burden of state money Salur subsidies Salang BBM")</f>
        <v>Let's Support Wisely Orders for Salar Salur Bbm Subsidies Social Duties Pertalite Benefits of  Application Technology Effective Solution Press the burden of state money Salur subsidies Salang BBM</v>
      </c>
    </row>
    <row r="214" spans="1:2" x14ac:dyDescent="0.2">
      <c r="A214" s="1" t="s">
        <v>2550</v>
      </c>
      <c r="B214" s="1" t="str">
        <f ca="1">IFERROR(__xludf.DUMFUNCTION("GOOGLETRANSLATE(A232,""id"",""en"")"),"info for the benefits of ")</f>
        <v xml:space="preserve">info for the benefits of </v>
      </c>
    </row>
    <row r="215" spans="1:2" x14ac:dyDescent="0.2">
      <c r="A215" s="1" t="s">
        <v>2551</v>
      </c>
      <c r="B215" s="1" t="str">
        <f ca="1">IFERROR(__xludf.DUMFUNCTION("GOOGLETRANSLATE(A233,""id"",""en"")"),"Analyst Ama Decision Maker until a  subsidina appears in the Consider Screenario is not ranked.")</f>
        <v>Analyst Ama Decision Maker until a  subsidina appears in the Consider Screenario is not ranked.</v>
      </c>
    </row>
    <row r="216" spans="1:2" x14ac:dyDescent="0.2">
      <c r="A216" s="1" t="s">
        <v>15</v>
      </c>
      <c r="B216" s="1" t="str">
        <f ca="1">IFERROR(__xludf.DUMFUNCTION("GOOGLETRANSLATE(A234,""id"",""en"")"),"IRTO like a difficult list")</f>
        <v>IRTO like a difficult list</v>
      </c>
    </row>
    <row r="217" spans="1:2" x14ac:dyDescent="0.2">
      <c r="A217" s="1" t="s">
        <v>2552</v>
      </c>
      <c r="B217" s="1" t="str">
        <f ca="1">IFERROR(__xludf.DUMFUNCTION("GOOGLETRANSLATE(A235,""id"",""en"")"),"The behavior of  is the benefit of control subsidies for fuel commands for fuel fuel subsidy subdisitioned solar pertalite sasar quota")</f>
        <v>The behavior of  is the benefit of control subsidies for fuel commands for fuel fuel subsidy subdisitioned solar pertalite sasar quota</v>
      </c>
    </row>
    <row r="218" spans="1:2" x14ac:dyDescent="0.2">
      <c r="A218" s="1" t="s">
        <v>2553</v>
      </c>
      <c r="B218" s="1" t="str">
        <f ca="1">IFERROR(__xludf.DUMFUNCTION("GOOGLETRANSLATE(A236,""id"",""en"")"),"people are worried about buying fuel using  behavior in the area")</f>
        <v>people are worried about buying fuel using  behavior in the area</v>
      </c>
    </row>
    <row r="219" spans="1:2" x14ac:dyDescent="0.2">
      <c r="A219" s="1" t="s">
        <v>2553</v>
      </c>
      <c r="B219" s="1" t="str">
        <f ca="1">IFERROR(__xludf.DUMFUNCTION("GOOGLETRANSLATE(A237,""id"",""en"")"),"people are worried about buying fuel using  behavior in the area")</f>
        <v>people are worried about buying fuel using  behavior in the area</v>
      </c>
    </row>
    <row r="220" spans="1:2" x14ac:dyDescent="0.2">
      <c r="A220" s="1" t="s">
        <v>2554</v>
      </c>
      <c r="B220" s="1" t="str">
        <f ca="1">IFERROR(__xludf.DUMFUNCTION("GOOGLETRANSLATE(A238,""id"",""en"")")," is expensive fuel prices")</f>
        <v xml:space="preserve"> is expensive fuel prices</v>
      </c>
    </row>
    <row r="221" spans="1:2" x14ac:dyDescent="0.2">
      <c r="A221" s="1" t="s">
        <v>2555</v>
      </c>
      <c r="B221" s="1" t="str">
        <f ca="1">IFERROR(__xludf.DUMFUNCTION("GOOGLETRANSLATE(A239,""id"",""en"")"),"Buy Pertalite using  Gas Kg, I use it, how come you don't really, if you change the card, the card will directly connect the balance, what is the application")</f>
        <v>Buy Pertalite using  Gas Kg, I use it, how come you don't really, if you change the card, the card will directly connect the balance, what is the application</v>
      </c>
    </row>
    <row r="222" spans="1:2" x14ac:dyDescent="0.2">
      <c r="A222" s="1" t="s">
        <v>2556</v>
      </c>
      <c r="B222" s="1" t="str">
        <f ca="1">IFERROR(__xludf.DUMFUNCTION("GOOGLETRANSLATE(A240,""id"",""en"")"),"Buy gasoline using  mingor using a protector, just still still apps for the command that I install the suggestion, it doesn't subsidize RAM HP, if you install the apps, the memory is empty")</f>
        <v>Buy gasoline using  mingor using a protector, just still still apps for the command that I install the suggestion, it doesn't subsidize RAM HP, if you install the apps, the memory is empty</v>
      </c>
    </row>
    <row r="223" spans="1:2" x14ac:dyDescent="0.2">
      <c r="A223" s="1" t="s">
        <v>2557</v>
      </c>
      <c r="B223" s="1" t="str">
        <f ca="1">IFERROR(__xludf.DUMFUNCTION("GOOGLETRANSLATE(A241,""id"",""en"")"),"Download the  application, try cool to sell  the benefits of control subsidy BBM commands Pertalite Benefits of Points that  is a good subsidy control")</f>
        <v>Download the  application, try cool to sell  the benefits of control subsidy BBM commands Pertalite Benefits of Points that  is a good subsidy control</v>
      </c>
    </row>
    <row r="224" spans="1:2" x14ac:dyDescent="0.2">
      <c r="A224" s="1" t="s">
        <v>2558</v>
      </c>
      <c r="B224" s="1" t="str">
        <f ca="1">IFERROR(__xludf.DUMFUNCTION("GOOGLETRANSLATE(A242,""id"",""en"")"),"Seriously ask the gas station to ban playing cellphones to buy pertalite using  gapaham")</f>
        <v>Seriously ask the gas station to ban playing cellphones to buy pertalite using  gapaham</v>
      </c>
    </row>
    <row r="225" spans="1:2" x14ac:dyDescent="0.2">
      <c r="A225" s="1" t="s">
        <v>2559</v>
      </c>
      <c r="B225" s="1" t="str">
        <f ca="1">IFERROR(__xludf.DUMFUNCTION("GOOGLETRANSLATE(A243,""id"",""en"")")," I use aunty aunty Grgr Fill in Linkaja's gasoline, so I send a boi project, boi kudu, diligently top up")</f>
        <v xml:space="preserve"> I use aunty aunty Grgr Fill in Linkaja's gasoline, so I send a boi project, boi kudu, diligently top up</v>
      </c>
    </row>
    <row r="226" spans="1:2" x14ac:dyDescent="0.2">
      <c r="A226" s="1" t="s">
        <v>2560</v>
      </c>
      <c r="B226" s="1" t="str">
        <f ca="1">IFERROR(__xludf.DUMFUNCTION("GOOGLETRANSLATE(A244,""id"",""en"")"),"good morning download ")</f>
        <v xml:space="preserve">good morning download </v>
      </c>
    </row>
    <row r="227" spans="1:2" x14ac:dyDescent="0.2">
      <c r="A227" s="1" t="s">
        <v>2463</v>
      </c>
      <c r="B227" s="1" t="str">
        <f ca="1">IFERROR(__xludf.DUMFUNCTION("GOOGLETRANSLATE(A245,""id"",""en"")")," Admin fee Rp")</f>
        <v xml:space="preserve"> Admin fee Rp</v>
      </c>
    </row>
    <row r="228" spans="1:2" x14ac:dyDescent="0.2">
      <c r="A228" s="1" t="s">
        <v>2561</v>
      </c>
      <c r="B228" s="1" t="str">
        <f ca="1">IFERROR(__xludf.DUMFUNCTION("GOOGLETRANSLATE(A246,""id"",""en"")")," Pertalite St of July's responsibility")</f>
        <v xml:space="preserve"> Pertalite St of July's responsibility</v>
      </c>
    </row>
    <row r="229" spans="1:2" x14ac:dyDescent="0.2">
      <c r="A229" s="1" t="s">
        <v>2373</v>
      </c>
      <c r="B229" s="1" t="str">
        <f ca="1">IFERROR(__xludf.DUMFUNCTION("GOOGLETRANSLATE(A247,""id"",""en"")"),"Pertalite Buy Lpg Kg List ")</f>
        <v xml:space="preserve">Pertalite Buy Lpg Kg List </v>
      </c>
    </row>
    <row r="230" spans="1:2" x14ac:dyDescent="0.2">
      <c r="A230" s="1" t="s">
        <v>2562</v>
      </c>
      <c r="B230" s="1" t="str">
        <f ca="1">IFERROR(__xludf.DUMFUNCTION("GOOGLETRANSLATE(A248,""id"",""en"")"),"orders to call the Petralite Solar Petralite System  application in July the limit of buying cooperation")</f>
        <v>orders to call the Petralite Solar Petralite System  application in July the limit of buying cooperation</v>
      </c>
    </row>
    <row r="231" spans="1:2" x14ac:dyDescent="0.2">
      <c r="A231" s="1" t="s">
        <v>16</v>
      </c>
      <c r="B231" s="1" t="str">
        <f ca="1">IFERROR(__xludf.DUMFUNCTION("GOOGLETRANSLATE(A249,""id"",""en"")"),"intelligent people war lust wins the obedience of God Munif Chatib")</f>
        <v>intelligent people war lust wins the obedience of God Munif Chatib</v>
      </c>
    </row>
    <row r="232" spans="1:2" x14ac:dyDescent="0.2">
      <c r="A232" s="1" t="s">
        <v>2463</v>
      </c>
      <c r="B232" s="1" t="str">
        <f ca="1">IFERROR(__xludf.DUMFUNCTION("GOOGLETRANSLATE(A250,""id"",""en"")")," Admin fee Rp")</f>
        <v xml:space="preserve"> Admin fee Rp</v>
      </c>
    </row>
    <row r="233" spans="1:2" x14ac:dyDescent="0.2">
      <c r="A233" s="1" t="s">
        <v>2563</v>
      </c>
      <c r="B233" s="1" t="str">
        <f ca="1">IFERROR(__xludf.DUMFUNCTION("GOOGLETRANSLATE(A251,""id"",""en"")"),"Check out the method of paying buying pertalite using  tempootomotive")</f>
        <v>Check out the method of paying buying pertalite using  tempootomotive</v>
      </c>
    </row>
    <row r="234" spans="1:2" x14ac:dyDescent="0.2">
      <c r="A234" s="1" t="s">
        <v>2373</v>
      </c>
      <c r="B234" s="1" t="str">
        <f ca="1">IFERROR(__xludf.DUMFUNCTION("GOOGLETRANSLATE(A252,""id"",""en"")"),"Pertalite Buy Lpg Kg List ")</f>
        <v xml:space="preserve">Pertalite Buy Lpg Kg List </v>
      </c>
    </row>
    <row r="235" spans="1:2" x14ac:dyDescent="0.2">
      <c r="A235" s="1" t="s">
        <v>2564</v>
      </c>
      <c r="B235" s="1" t="str">
        <f ca="1">IFERROR(__xludf.DUMFUNCTION("GOOGLETRANSLATE(A253,""id"",""en"")"),"Use the  BBM application subsidized Sasar Data Verification list according to the Email Website Notification Terms")</f>
        <v>Use the  BBM application subsidized Sasar Data Verification list according to the Email Website Notification Terms</v>
      </c>
    </row>
    <row r="236" spans="1:2" x14ac:dyDescent="0.2">
      <c r="A236" s="1" t="s">
        <v>2463</v>
      </c>
      <c r="B236" s="1" t="str">
        <f ca="1">IFERROR(__xludf.DUMFUNCTION("GOOGLETRANSLATE(A254,""id"",""en"")")," Admin fee Rp")</f>
        <v xml:space="preserve"> Admin fee Rp</v>
      </c>
    </row>
    <row r="237" spans="1:2" x14ac:dyDescent="0.2">
      <c r="A237" s="1" t="s">
        <v>2565</v>
      </c>
      <c r="B237" s="1" t="str">
        <f ca="1">IFERROR(__xludf.DUMFUNCTION("GOOGLETRANSLATE(A255,""id"",""en"")"),"BBM Subdisified Solar Pertalite Setting Regulation Set President No SK BPH MIGAS NO  Open July.")</f>
        <v>BBM Subdisified Solar Pertalite Setting Regulation Set President No SK BPH MIGAS NO  Open July.</v>
      </c>
    </row>
    <row r="238" spans="1:2" x14ac:dyDescent="0.2">
      <c r="A238" s="1" t="s">
        <v>2463</v>
      </c>
      <c r="B238" s="1" t="str">
        <f ca="1">IFERROR(__xludf.DUMFUNCTION("GOOGLETRANSLATE(A256,""id"",""en"")")," Admin fee Rp")</f>
        <v xml:space="preserve"> Admin fee Rp</v>
      </c>
    </row>
    <row r="239" spans="1:2" x14ac:dyDescent="0.2">
      <c r="A239" s="1" t="s">
        <v>2566</v>
      </c>
      <c r="B239" s="1" t="str">
        <f ca="1">IFERROR(__xludf.DUMFUNCTION("GOOGLETRANSLATE(A257,""id"",""en"")")," Benefits Benefits of Control Subsidy  BBM Order Nali Consumer Protection Consumer Public Rights Fuel Fuel Subsidies")</f>
        <v xml:space="preserve"> Benefits Benefits of Control Subsidy  BBM Order Nali Consumer Protection Consumer Public Rights Fuel Fuel Subsidies</v>
      </c>
    </row>
    <row r="240" spans="1:2" x14ac:dyDescent="0.2">
      <c r="A240" s="1" t="s">
        <v>2567</v>
      </c>
      <c r="B240" s="1" t="str">
        <f ca="1">IFERROR(__xludf.DUMFUNCTION("GOOGLETRANSLATE(A258,""id"",""en"")"),"Effective Solutions to Press the burden of State Money Salur Salur Subsidies Salang Salar Misplusion Control BBM Subsidies Subsidies Solar Task Pertalite Benefits of  Application Technology Let's Support Wisely Orders")</f>
        <v>Effective Solutions to Press the burden of State Money Salur Salur Subsidies Salang Salar Misplusion Control BBM Subsidies Subsidies Solar Task Pertalite Benefits of  Application Technology Let's Support Wisely Orders</v>
      </c>
    </row>
    <row r="241" spans="1:2" x14ac:dyDescent="0.2">
      <c r="A241" s="1" t="s">
        <v>2568</v>
      </c>
      <c r="B241" s="1" t="str">
        <f ca="1">IFERROR(__xludf.DUMFUNCTION("GOOGLETRANSLATE(A259,""id"",""en"")")," Error")</f>
        <v xml:space="preserve"> Error</v>
      </c>
    </row>
    <row r="242" spans="1:2" x14ac:dyDescent="0.2">
      <c r="A242" s="1" t="s">
        <v>2569</v>
      </c>
      <c r="B242" s="1" t="str">
        <f ca="1">IFERROR(__xludf.DUMFUNCTION("GOOGLETRANSLATE(A260,""id"",""en"")"),"The risk of not in the brain takes wise more wise progs.")</f>
        <v>The risk of not in the brain takes wise more wise progs.</v>
      </c>
    </row>
    <row r="243" spans="1:2" x14ac:dyDescent="0.2">
      <c r="A243" s="1" t="s">
        <v>2570</v>
      </c>
      <c r="B243" s="1" t="str">
        <f ca="1">IFERROR(__xludf.DUMFUNCTION("GOOGLETRANSLATE(A261,""id"",""en"")"),"the applications of  controlling control fuel subsidized value very wise energy Potential blunder Potential Blunder")</f>
        <v>the applications of  controlling control fuel subsidized value very wise energy Potential blunder Potential Blunder</v>
      </c>
    </row>
    <row r="244" spans="1:2" x14ac:dyDescent="0.2">
      <c r="A244" s="1" t="s">
        <v>2571</v>
      </c>
      <c r="B244" s="1" t="str">
        <f ca="1">IFERROR(__xludf.DUMFUNCTION("GOOGLETRANSLATE(A262,""id"",""en"")")," behavior benefits for control subsidy BBM orders type pertalite sasar with  system help to match data for protecting people who are delicious fuel subsidy fuel rights")</f>
        <v xml:space="preserve"> behavior benefits for control subsidy BBM orders type pertalite sasar with  system help to match data for protecting people who are delicious fuel subsidy fuel rights</v>
      </c>
    </row>
    <row r="245" spans="1:2" x14ac:dyDescent="0.2">
      <c r="A245" s="1" t="s">
        <v>2572</v>
      </c>
      <c r="B245" s="1" t="str">
        <f ca="1">IFERROR(__xludf.DUMFUNCTION("GOOGLETRANSLATE(A263,""id"",""en"")"),"willing to uninstall call of duty mobile download  qntl fate of potato hp")</f>
        <v>willing to uninstall call of duty mobile download  qntl fate of potato hp</v>
      </c>
    </row>
    <row r="246" spans="1:2" x14ac:dyDescent="0.2">
      <c r="A246" s="1" t="s">
        <v>2463</v>
      </c>
      <c r="B246" s="1" t="str">
        <f ca="1">IFERROR(__xludf.DUMFUNCTION("GOOGLETRANSLATE(A264,""id"",""en"")")," Admin fee Rp")</f>
        <v xml:space="preserve"> Admin fee Rp</v>
      </c>
    </row>
    <row r="247" spans="1:2" x14ac:dyDescent="0.2">
      <c r="A247" s="1" t="s">
        <v>2573</v>
      </c>
      <c r="B247" s="1" t="str">
        <f ca="1">IFERROR(__xludf.DUMFUNCTION("GOOGLETRANSLATE(A265,""id"",""en"")"),"The fact of  for the newrapy  is aimed at the Sasar Identification Subsidy")</f>
        <v>The fact of  for the newrapy  is aimed at the Sasar Identification Subsidy</v>
      </c>
    </row>
    <row r="248" spans="1:2" x14ac:dyDescent="0.2">
      <c r="A248" s="1" t="s">
        <v>2574</v>
      </c>
      <c r="B248" s="1" t="str">
        <f ca="1">IFERROR(__xludf.DUMFUNCTION("GOOGLETRANSLATE(A266,""id"",""en"")"),"citizens of the city of Yogyakarta are complaints of wise commands to buy fuel fuel fuel subsidies must use the  pertalite application")</f>
        <v>citizens of the city of Yogyakarta are complaints of wise commands to buy fuel fuel fuel subsidies must use the  pertalite application</v>
      </c>
    </row>
    <row r="249" spans="1:2" x14ac:dyDescent="0.2">
      <c r="A249" s="1" t="s">
        <v>2575</v>
      </c>
      <c r="B249" s="1" t="str">
        <f ca="1">IFERROR(__xludf.DUMFUNCTION("GOOGLETRANSLATE(A267,""id"",""en"")"),"if you've downloaded  the country's debt is paid off henteu anying")</f>
        <v>if you've downloaded  the country's debt is paid off henteu anying</v>
      </c>
    </row>
    <row r="250" spans="1:2" x14ac:dyDescent="0.2">
      <c r="A250" s="1" t="s">
        <v>2576</v>
      </c>
      <c r="B250" s="1" t="str">
        <f ca="1">IFERROR(__xludf.DUMFUNCTION("GOOGLETRANSLATE(A268,""id"",""en"")"),"which entered the  cc application")</f>
        <v>which entered the  cc application</v>
      </c>
    </row>
    <row r="251" spans="1:2" x14ac:dyDescent="0.2">
      <c r="A251" s="1" t="s">
        <v>2577</v>
      </c>
      <c r="B251" s="1" t="str">
        <f ca="1">IFERROR(__xludf.DUMFUNCTION("GOOGLETRANSLATE(A269,""id"",""en"")"),"hard to enter  morning")</f>
        <v>hard to enter  morning</v>
      </c>
    </row>
    <row r="252" spans="1:2" x14ac:dyDescent="0.2">
      <c r="A252" s="1" t="s">
        <v>2578</v>
      </c>
      <c r="B252" s="1" t="str">
        <f ca="1">IFERROR(__xludf.DUMFUNCTION("GOOGLETRANSLATE(A270,""id"",""en"")"),"thread  yok intelligent community valid info  main dated July list of bkn pemb")</f>
        <v>thread  yok intelligent community valid info  main dated July list of bkn pemb</v>
      </c>
    </row>
    <row r="253" spans="1:2" x14ac:dyDescent="0.2">
      <c r="A253" s="1" t="s">
        <v>2579</v>
      </c>
      <c r="B253" s="1" t="str">
        <f ca="1">IFERROR(__xludf.DUMFUNCTION("GOOGLETRANSLATE(A271,""id"",""en"")"),"forced to use   application with a bad weighing wisely rejecting the application")</f>
        <v>forced to use   application with a bad weighing wisely rejecting the application</v>
      </c>
    </row>
    <row r="254" spans="1:2" x14ac:dyDescent="0.2">
      <c r="A254" s="1" t="s">
        <v>2580</v>
      </c>
      <c r="B254" s="1" t="str">
        <f ca="1">IFERROR(__xludf.DUMFUNCTION("GOOGLETRANSLATE(A272,""id"",""en"")"),"the intention to get  points but can't directly byr the app")</f>
        <v>the intention to get  points but can't directly byr the app</v>
      </c>
    </row>
    <row r="255" spans="1:2" x14ac:dyDescent="0.2">
      <c r="A255" s="1" t="s">
        <v>2581</v>
      </c>
      <c r="B255" s="1" t="str">
        <f ca="1">IFERROR(__xludf.DUMFUNCTION("GOOGLETRANSLATE(A273,""id"",""en"")"),"The phone uses WA, aka just open the app like ")</f>
        <v xml:space="preserve">The phone uses WA, aka just open the app like </v>
      </c>
    </row>
    <row r="256" spans="1:2" x14ac:dyDescent="0.2">
      <c r="A256" s="1" t="s">
        <v>2582</v>
      </c>
      <c r="B256" s="1" t="str">
        <f ca="1">IFERROR(__xludf.DUMFUNCTION("GOOGLETRANSLATE(A274,""id"",""en"")"),"Hot Take On  App Subsidies Not sure, Sunmori Motor Sport CC Motor Trail Class Not the contents")</f>
        <v>Hot Take On  App Subsidies Not sure, Sunmori Motor Sport CC Motor Trail Class Not the contents</v>
      </c>
    </row>
    <row r="257" spans="1:2" x14ac:dyDescent="0.2">
      <c r="A257" s="1" t="s">
        <v>2528</v>
      </c>
      <c r="B257" s="1" t="str">
        <f ca="1">IFERROR(__xludf.DUMFUNCTION("GOOGLETRANSLATE(A275,""id"",""en"")"),"Trial Buy Pertalite Using ")</f>
        <v xml:space="preserve">Trial Buy Pertalite Using </v>
      </c>
    </row>
    <row r="258" spans="1:2" x14ac:dyDescent="0.2">
      <c r="A258" s="1" t="s">
        <v>2583</v>
      </c>
      <c r="B258" s="1" t="str">
        <f ca="1">IFERROR(__xludf.DUMFUNCTION("GOOGLETRANSLATE(A276,""id"",""en"")"),"crowded  applications Serang Bintang forms disappointed in the people")</f>
        <v>crowded  applications Serang Bintang forms disappointed in the people</v>
      </c>
    </row>
    <row r="259" spans="1:2" x14ac:dyDescent="0.2">
      <c r="A259" s="1" t="s">
        <v>2584</v>
      </c>
      <c r="B259" s="1" t="str">
        <f ca="1">IFERROR(__xludf.DUMFUNCTION("GOOGLETRANSLATE(A277,""id"",""en"")"),"Pas really gasoline after Juli Should download ")</f>
        <v xml:space="preserve">Pas really gasoline after Juli Should download </v>
      </c>
    </row>
    <row r="260" spans="1:2" x14ac:dyDescent="0.2">
      <c r="A260" s="1" t="s">
        <v>2585</v>
      </c>
      <c r="B260" s="1" t="str">
        <f ca="1">IFERROR(__xludf.DUMFUNCTION("GOOGLETRANSLATE(A278,""id"",""en"")"),"Ayok Mabar ")</f>
        <v xml:space="preserve">Ayok Mabar </v>
      </c>
    </row>
    <row r="261" spans="1:2" x14ac:dyDescent="0.2">
      <c r="A261" s="1" t="s">
        <v>950</v>
      </c>
      <c r="B261" s="1" t="str">
        <f ca="1">IFERROR(__xludf.DUMFUNCTION("GOOGLETRANSLATE(A279,""id"",""en"")"),"PT  Persero is obliged to use BBM Subsidized type of solar sertalite websi list")</f>
        <v>PT  Persero is obliged to use BBM Subsidized type of solar sertalite websi list</v>
      </c>
    </row>
    <row r="262" spans="1:2" x14ac:dyDescent="0.2">
      <c r="A262" s="1" t="s">
        <v>2586</v>
      </c>
      <c r="B262" s="1" t="str">
        <f ca="1">IFERROR(__xludf.DUMFUNCTION("GOOGLETRANSLATE(A280,""id"",""en"")"),"GBLeh gas station is alive the HP gas, how come it is dsruh pke ")</f>
        <v xml:space="preserve">GBLeh gas station is alive the HP gas, how come it is dsruh pke </v>
      </c>
    </row>
    <row r="263" spans="1:2" x14ac:dyDescent="0.2">
      <c r="A263" s="1" t="s">
        <v>2587</v>
      </c>
      <c r="B263" s="1" t="str">
        <f ca="1">IFERROR(__xludf.DUMFUNCTION("GOOGLETRANSLATE(A281,""id"",""en"")"),"I don't understand the gas station, not opening a cellphone if now the  application is not so open the cellphone like protecting it, how piyeee")</f>
        <v>I don't understand the gas station, not opening a cellphone if now the  application is not so open the cellphone like protecting it, how piyeee</v>
      </c>
    </row>
    <row r="264" spans="1:2" x14ac:dyDescent="0.2">
      <c r="A264" s="1" t="s">
        <v>2588</v>
      </c>
      <c r="B264" s="1" t="str">
        <f ca="1">IFERROR(__xludf.DUMFUNCTION("GOOGLETRANSLATE(A282,""id"",""en"")"),"Slapping stamp hard  ugly review google play netizens support Jokowi IK")</f>
        <v>Slapping stamp hard  ugly review google play netizens support Jokowi IK</v>
      </c>
    </row>
    <row r="265" spans="1:2" x14ac:dyDescent="0.2">
      <c r="A265" s="1" t="s">
        <v>951</v>
      </c>
      <c r="B265" s="1" t="str">
        <f ca="1">IFERROR(__xludf.DUMFUNCTION("GOOGLETRANSLATE(A283,""id"",""en"")"),"PT  Persero Appraisal Mechanisms for BBM Website List")</f>
        <v>PT  Persero Appraisal Mechanisms for BBM Website List</v>
      </c>
    </row>
    <row r="266" spans="1:2" x14ac:dyDescent="0.2">
      <c r="A266" s="1" t="s">
        <v>2589</v>
      </c>
      <c r="B266" s="1" t="str">
        <f ca="1">IFERROR(__xludf.DUMFUNCTION("GOOGLETRANSLATE(A284,""id"",""en"")"),"Wanjir ")</f>
        <v xml:space="preserve">Wanjir </v>
      </c>
    </row>
    <row r="267" spans="1:2" x14ac:dyDescent="0.2">
      <c r="A267" s="1" t="s">
        <v>2590</v>
      </c>
      <c r="B267" s="1" t="str">
        <f ca="1">IFERROR(__xludf.DUMFUNCTION("GOOGLETRANSLATE(A285,""id"",""en"")"),"For one of the Salar SUBSIDID BBM  List Verification List for BBM subsidized  website")</f>
        <v>For one of the Salar SUBSIDID BBM  List Verification List for BBM subsidized  website</v>
      </c>
    </row>
    <row r="268" spans="1:2" x14ac:dyDescent="0.2">
      <c r="A268" s="1" t="s">
        <v>2591</v>
      </c>
      <c r="B268" s="1" t="str">
        <f ca="1">IFERROR(__xludf.DUMFUNCTION("GOOGLETRANSLATE(A286,""id"",""en"")"),"List of buying Pertalite Open see the list of  accounts")</f>
        <v>List of buying Pertalite Open see the list of  accounts</v>
      </c>
    </row>
    <row r="269" spans="1:2" x14ac:dyDescent="0.2">
      <c r="A269" s="1" t="s">
        <v>17</v>
      </c>
      <c r="B269" s="1" t="str">
        <f ca="1">IFERROR(__xludf.DUMFUNCTION("GOOGLETRANSLATE(A287,""id"",""en"")"),"List of buying pertalite open facts")</f>
        <v>List of buying pertalite open facts</v>
      </c>
    </row>
    <row r="270" spans="1:2" x14ac:dyDescent="0.2">
      <c r="A270" s="1" t="s">
        <v>2592</v>
      </c>
      <c r="B270" s="1" t="str">
        <f ca="1">IFERROR(__xludf.DUMFUNCTION("GOOGLETRANSLATE(A288,""id"",""en"")"),"Dateng Gas Station, please pay using  link, etc. not take money plus watu pnh, the contents of the Cashless der aa haven't paid using links, scan qris bca min, buy rb duh paribasa country pgn Practice ee")</f>
        <v>Dateng Gas Station, please pay using  link, etc. not take money plus watu pnh, the contents of the Cashless der aa haven't paid using links, scan qris bca min, buy rb duh paribasa country pgn Practice ee</v>
      </c>
    </row>
    <row r="271" spans="1:2" x14ac:dyDescent="0.2">
      <c r="A271" s="1" t="s">
        <v>2593</v>
      </c>
      <c r="B271" s="1" t="str">
        <f ca="1">IFERROR(__xludf.DUMFUNCTION("GOOGLETRANSLATE(A289,""id"",""en"")"),"PT  Persero is obliged to use BBM Subsidies type Pertalite Solar List List of  Website")</f>
        <v>PT  Persero is obliged to use BBM Subsidies type Pertalite Solar List List of  Website</v>
      </c>
    </row>
    <row r="272" spans="1:2" x14ac:dyDescent="0.2">
      <c r="A272" s="1" t="s">
        <v>2594</v>
      </c>
      <c r="B272" s="1" t="str">
        <f ca="1">IFERROR(__xludf.DUMFUNCTION("GOOGLETRANSLATE(A290,""id"",""en"")")," Vegetable")</f>
        <v xml:space="preserve"> Vegetable</v>
      </c>
    </row>
    <row r="273" spans="1:2" x14ac:dyDescent="0.2">
      <c r="A273" s="1" t="s">
        <v>2595</v>
      </c>
      <c r="B273" s="1" t="str">
        <f ca="1">IFERROR(__xludf.DUMFUNCTION("GOOGLETRANSLATE(A291,""id"",""en"")"),"  SPBU SAFE SELL Call Beritasonora Phone Via")</f>
        <v xml:space="preserve">  SPBU SAFE SELL Call Beritasonora Phone Via</v>
      </c>
    </row>
    <row r="274" spans="1:2" x14ac:dyDescent="0.2">
      <c r="A274" s="1" t="s">
        <v>2596</v>
      </c>
      <c r="B274" s="1" t="str">
        <f ca="1">IFERROR(__xludf.DUMFUNCTION("GOOGLETRANSLATE(A292,""id"",""en"")"),"Buy BBM using  Criticism Expert Building Application Needs")</f>
        <v>Buy BBM using  Criticism Expert Building Application Needs</v>
      </c>
    </row>
    <row r="275" spans="1:2" x14ac:dyDescent="0.2">
      <c r="A275" s="1" t="s">
        <v>2597</v>
      </c>
      <c r="B275" s="1" t="str">
        <f ca="1">IFERROR(__xludf.DUMFUNCTION("GOOGLETRANSLATE(A293,""id"",""en"")"),"Buy the type of fuel fuel oil pertalite solar list July, the  site is restless about the public")</f>
        <v>Buy the type of fuel fuel oil pertalite solar list July, the  site is restless about the public</v>
      </c>
    </row>
    <row r="276" spans="1:2" x14ac:dyDescent="0.2">
      <c r="A276" s="1" t="s">
        <v>2598</v>
      </c>
      <c r="B276" s="1" t="str">
        <f ca="1">IFERROR(__xludf.DUMFUNCTION("GOOGLETRANSLATE(A294,""id"",""en"")"),"the motor is already required to use  if the contents of the pertalite")</f>
        <v>the motor is already required to use  if the contents of the pertalite</v>
      </c>
    </row>
    <row r="277" spans="1:2" x14ac:dyDescent="0.2">
      <c r="A277" s="1" t="s">
        <v>2599</v>
      </c>
      <c r="B277" s="1" t="str">
        <f ca="1">IFERROR(__xludf.DUMFUNCTION("GOOGLETRANSLATE(A295,""id"",""en"")"),"Wadooo , the cellphone is rooted")</f>
        <v>Wadooo , the cellphone is rooted</v>
      </c>
    </row>
    <row r="278" spans="1:2" x14ac:dyDescent="0.2">
      <c r="A278" s="1" t="s">
        <v>2600</v>
      </c>
      <c r="B278" s="1" t="str">
        <f ca="1">IFERROR(__xludf.DUMFUNCTION("GOOGLETRANSLATE(A296,""id"",""en"")"),"hello sis pay via cash card debit card yes don't use  linkaja")</f>
        <v>hello sis pay via cash card debit card yes don't use  linkaja</v>
      </c>
    </row>
    <row r="279" spans="1:2" x14ac:dyDescent="0.2">
      <c r="A279" s="1" t="s">
        <v>2601</v>
      </c>
      <c r="B279" s="1" t="str">
        <f ca="1">IFERROR(__xludf.DUMFUNCTION("GOOGLETRANSLATE(A297,""id"",""en"")")," Open the  Website Identity Vending List")</f>
        <v xml:space="preserve"> Open the  Website Identity Vending List</v>
      </c>
    </row>
    <row r="280" spans="1:2" x14ac:dyDescent="0.2">
      <c r="A280" s="1" t="s">
        <v>2602</v>
      </c>
      <c r="B280" s="1" t="str">
        <f ca="1">IFERROR(__xludf.DUMFUNCTION("GOOGLETRANSLATE(A298,""id"",""en"")"),"how about the list of  list numbers")</f>
        <v>how about the list of  list numbers</v>
      </c>
    </row>
    <row r="281" spans="1:2" x14ac:dyDescent="0.2">
      <c r="A281" s="1" t="s">
        <v>2603</v>
      </c>
      <c r="B281" s="1" t="str">
        <f ca="1">IFERROR(__xludf.DUMFUNCTION("GOOGLETRANSLATE(A299,""id"",""en"")"),"Beautiful Negariku Buy BBM For Lpg Kg Must Register ")</f>
        <v xml:space="preserve">Beautiful Negariku Buy BBM For Lpg Kg Must Register </v>
      </c>
    </row>
    <row r="282" spans="1:2" x14ac:dyDescent="0.2">
      <c r="A282" s="1" t="s">
        <v>2604</v>
      </c>
      <c r="B282" s="1" t="str">
        <f ca="1">IFERROR(__xludf.DUMFUNCTION("GOOGLETRANSLATE(A300,""id"",""en"")"),"already download  not login alhamdulillah hahaha")</f>
        <v>already download  not login alhamdulillah hahaha</v>
      </c>
    </row>
    <row r="283" spans="1:2" x14ac:dyDescent="0.2">
      <c r="A283" s="1" t="s">
        <v>2605</v>
      </c>
      <c r="B283" s="1" t="str">
        <f ca="1">IFERROR(__xludf.DUMFUNCTION("GOOGLETRANSLATE(A301,""id"",""en"")"),"MSK Socialization of ")</f>
        <v xml:space="preserve">MSK Socialization of </v>
      </c>
    </row>
    <row r="284" spans="1:2" x14ac:dyDescent="0.2">
      <c r="A284" s="1" t="s">
        <v>2606</v>
      </c>
      <c r="B284" s="1" t="str">
        <f ca="1">IFERROR(__xludf.DUMFUNCTION("GOOGLETRANSLATE(A302,""id"",""en"")"),"Sri Mulyani System Ready to   Subsidies LPG Sasara")</f>
        <v>Sri Mulyani System Ready to   Subsidies LPG Sasara</v>
      </c>
    </row>
    <row r="285" spans="1:2" x14ac:dyDescent="0.2">
      <c r="A285" s="1" t="s">
        <v>2607</v>
      </c>
      <c r="B285" s="1" t="str">
        <f ca="1">IFERROR(__xludf.DUMFUNCTION("GOOGLETRANSLATE(A303,""id"",""en"")"),"buy lpg kg using  march the base of the order")</f>
        <v>buy lpg kg using  march the base of the order</v>
      </c>
    </row>
    <row r="286" spans="1:2" x14ac:dyDescent="0.2">
      <c r="A286" s="1" t="s">
        <v>2608</v>
      </c>
      <c r="B286" s="1" t="str">
        <f ca="1">IFERROR(__xludf.DUMFUNCTION("GOOGLETRANSLATE(A304,""id"",""en"")"),"The list of  gas station databases save , which is a synchronous synchronous query database")</f>
        <v>The list of  gas station databases save , which is a synchronous synchronous query database</v>
      </c>
    </row>
    <row r="287" spans="1:2" x14ac:dyDescent="0.2">
      <c r="A287" s="1" t="s">
        <v>2609</v>
      </c>
      <c r="B287" s="1" t="str">
        <f ca="1">IFERROR(__xludf.DUMFUNCTION("GOOGLETRANSLATE(A305,""id"",""en"")"),"Residents List of  Web Layan SPBU")</f>
        <v>Residents List of  Web Layan SPBU</v>
      </c>
    </row>
    <row r="288" spans="1:2" x14ac:dyDescent="0.2">
      <c r="A288" s="1" t="s">
        <v>2610</v>
      </c>
      <c r="B288" s="1" t="str">
        <f ca="1">IFERROR(__xludf.DUMFUNCTION("GOOGLETRANSLATE(A306,""id"",""en"")"),"Testing Belia Petralite Making  Apps Error So Typical Deployment Chaos")</f>
        <v>Testing Belia Petralite Making  Apps Error So Typical Deployment Chaos</v>
      </c>
    </row>
    <row r="289" spans="1:2" x14ac:dyDescent="0.2">
      <c r="A289" s="1" t="s">
        <v>2609</v>
      </c>
      <c r="B289" s="1" t="str">
        <f ca="1">IFERROR(__xludf.DUMFUNCTION("GOOGLETRANSLATE(A307,""id"",""en"")"),"Residents List of  Web Layan SPBU")</f>
        <v>Residents List of  Web Layan SPBU</v>
      </c>
    </row>
    <row r="290" spans="1:2" x14ac:dyDescent="0.2">
      <c r="A290" s="1" t="s">
        <v>2611</v>
      </c>
      <c r="B290" s="1" t="str">
        <f ca="1">IFERROR(__xludf.DUMFUNCTION("GOOGLETRANSLATE(A308,""id"",""en"")"),"Ukraine Proposal Apk Cares Protection Proposal Russia Apk ")</f>
        <v xml:space="preserve">Ukraine Proposal Apk Cares Protection Proposal Russia Apk </v>
      </c>
    </row>
    <row r="291" spans="1:2" x14ac:dyDescent="0.2">
      <c r="A291" s="1" t="s">
        <v>2612</v>
      </c>
      <c r="B291" s="1" t="str">
        <f ca="1">IFERROR(__xludf.DUMFUNCTION("GOOGLETRANSLATE(A309,""id"",""en"")")," Reveals Percent of the BBM Community Subsidy Kalang Rich Thephraseid  SubsidibBM Government Policy")</f>
        <v xml:space="preserve"> Reveals Percent of the BBM Community Subsidy Kalang Rich Thephraseid  SubsidibBM Government Policy</v>
      </c>
    </row>
    <row r="292" spans="1:2" x14ac:dyDescent="0.2">
      <c r="A292" s="1" t="s">
        <v>2613</v>
      </c>
      <c r="B292" s="1" t="str">
        <f ca="1">IFERROR(__xludf.DUMFUNCTION("GOOGLETRANSLATE(A310,""id"",""en"")")," nglag it is like a who")</f>
        <v xml:space="preserve"> nglag it is like a who</v>
      </c>
    </row>
    <row r="293" spans="1:2" x14ac:dyDescent="0.2">
      <c r="A293" s="1" t="s">
        <v>2614</v>
      </c>
      <c r="B293" s="1" t="str">
        <f ca="1">IFERROR(__xludf.DUMFUNCTION("GOOGLETRANSLATE(A311,""id"",""en"")"),"let's install  price.")</f>
        <v>let's install  price.</v>
      </c>
    </row>
    <row r="294" spans="1:2" x14ac:dyDescent="0.2">
      <c r="A294" s="1" t="s">
        <v>18</v>
      </c>
      <c r="B294" s="1" t="str">
        <f ca="1">IFERROR(__xludf.DUMFUNCTION("GOOGLETRANSLATE(A312,""id"",""en"")"),"Member of the House of Representatives Commission VII Paramitha Widya Kusuma said the people of the people were complicated")</f>
        <v>Member of the House of Representatives Commission VII Paramitha Widya Kusuma said the people of the people were complicated</v>
      </c>
    </row>
    <row r="295" spans="1:2" x14ac:dyDescent="0.2">
      <c r="A295" s="1" t="s">
        <v>2615</v>
      </c>
      <c r="B295" s="1" t="str">
        <f ca="1">IFERROR(__xludf.DUMFUNCTION("GOOGLETRANSLATE(A313,""id"",""en"")"),"Criticism for  PB HMI application is difficult for the people to get BBM")</f>
        <v>Criticism for  PB HMI application is difficult for the people to get BBM</v>
      </c>
    </row>
    <row r="296" spans="1:2" x14ac:dyDescent="0.2">
      <c r="A296" s="1" t="s">
        <v>2616</v>
      </c>
      <c r="B296" s="1" t="str">
        <f ca="1">IFERROR(__xludf.DUMFUNCTION("GOOGLETRANSLATE(A314,""id"",""en"")"),"indeed use the  mobile signal is confused")</f>
        <v>indeed use the  mobile signal is confused</v>
      </c>
    </row>
    <row r="297" spans="1:2" x14ac:dyDescent="0.2">
      <c r="A297" s="1" t="s">
        <v>2617</v>
      </c>
      <c r="B297" s="1" t="str">
        <f ca="1">IFERROR(__xludf.DUMFUNCTION("GOOGLETRANSLATE(A315,""id"",""en"")"),"Woooyyy, how come  bombs are ready")</f>
        <v>Woooyyy, how come  bombs are ready</v>
      </c>
    </row>
    <row r="298" spans="1:2" x14ac:dyDescent="0.2">
      <c r="A298" s="1" t="s">
        <v>2618</v>
      </c>
      <c r="B298" s="1" t="str">
        <f ca="1">IFERROR(__xludf.DUMFUNCTION("GOOGLETRANSLATE(A316,""id"",""en"")"),"Check out, friend, just calm down, just don't have to panic.")</f>
        <v>Check out, friend, just calm down, just don't have to panic.</v>
      </c>
    </row>
    <row r="299" spans="1:2" x14ac:dyDescent="0.2">
      <c r="A299" s="1" t="s">
        <v>2619</v>
      </c>
      <c r="B299" s="1" t="str">
        <f ca="1">IFERROR(__xludf.DUMFUNCTION("GOOGLETRANSLATE(A317,""id"",""en"")"),"eh  doesn't sell jakarta")</f>
        <v>eh  doesn't sell jakarta</v>
      </c>
    </row>
    <row r="300" spans="1:2" x14ac:dyDescent="0.2">
      <c r="A300" s="1" t="s">
        <v>19</v>
      </c>
      <c r="B300" s="1" t="str">
        <f ca="1">IFERROR(__xludf.DUMFUNCTION("GOOGLETRANSLATE(A318,""id"",""en"")"),"List of Solar Subsidies Pertalite wheels, friend, I already know the list, Mimin, give a complete list of complete websites for Mimin Upload videos")</f>
        <v>List of Solar Subsidies Pertalite wheels, friend, I already know the list, Mimin, give a complete list of complete websites for Mimin Upload videos</v>
      </c>
    </row>
    <row r="301" spans="1:2" x14ac:dyDescent="0.2">
      <c r="A301" s="1" t="s">
        <v>2620</v>
      </c>
      <c r="B301" s="1" t="str">
        <f ca="1">IFERROR(__xludf.DUMFUNCTION("GOOGLETRANSLATE(A319,""id"",""en"")"),"get a fee base income using an application to enter the  testing trial  HP Solution")</f>
        <v>get a fee base income using an application to enter the  testing trial  HP Solution</v>
      </c>
    </row>
    <row r="302" spans="1:2" x14ac:dyDescent="0.2">
      <c r="A302" s="1" t="s">
        <v>2621</v>
      </c>
      <c r="B302" s="1" t="str">
        <f ca="1">IFERROR(__xludf.DUMFUNCTION("GOOGLETRANSLATE(A320,""id"",""en"")"),"Forgot to buy a list of BBM Pertalite  Application")</f>
        <v>Forgot to buy a list of BBM Pertalite  Application</v>
      </c>
    </row>
    <row r="303" spans="1:2" x14ac:dyDescent="0.2">
      <c r="A303" s="1" t="s">
        <v>2622</v>
      </c>
      <c r="B303" s="1" t="str">
        <f ca="1">IFERROR(__xludf.DUMFUNCTION("GOOGLETRANSLATE(A321,""id"",""en"")"),"simple aj dl kt buy gasoline filled with paying using money to pull out klw using pertami")</f>
        <v>simple aj dl kt buy gasoline filled with paying using money to pull out klw using pertami</v>
      </c>
    </row>
    <row r="304" spans="1:2" x14ac:dyDescent="0.2">
      <c r="A304" s="1" t="s">
        <v>2623</v>
      </c>
      <c r="B304" s="1" t="str">
        <f ca="1">IFERROR(__xludf.DUMFUNCTION("GOOGLETRANSLATE(A322,""id"",""en"")"),"Night Open the Sasar Menu Ga Fill Try to Open the App Crash Na MAHA MIN ")</f>
        <v xml:space="preserve">Night Open the Sasar Menu Ga Fill Try to Open the App Crash Na MAHA MIN </v>
      </c>
    </row>
    <row r="305" spans="1:2" x14ac:dyDescent="0.2">
      <c r="A305" s="1" t="s">
        <v>2624</v>
      </c>
      <c r="B305" s="1" t="str">
        <f ca="1">IFERROR(__xludf.DUMFUNCTION("GOOGLETRANSLATE(A323,""id"",""en"")"),"The thread is ")</f>
        <v xml:space="preserve">The thread is </v>
      </c>
    </row>
    <row r="306" spans="1:2" x14ac:dyDescent="0.2">
      <c r="A306" s="1" t="s">
        <v>2625</v>
      </c>
      <c r="B306" s="1" t="str">
        <f ca="1">IFERROR(__xludf.DUMFUNCTION("GOOGLETRANSLATE(A324,""id"",""en"")"),"buy subsidized fuel using  pks state to make people bother")</f>
        <v>buy subsidized fuel using  pks state to make people bother</v>
      </c>
    </row>
    <row r="307" spans="1:2" x14ac:dyDescent="0.2">
      <c r="A307" s="1" t="s">
        <v>2626</v>
      </c>
      <c r="B307" s="1" t="str">
        <f ca="1">IFERROR(__xludf.DUMFUNCTION("GOOGLETRANSLATE(A325,""id"",""en"")"),"not buying oil list ")</f>
        <v xml:space="preserve">not buying oil list </v>
      </c>
    </row>
    <row r="308" spans="1:2" x14ac:dyDescent="0.2">
      <c r="A308" s="1" t="s">
        <v>2627</v>
      </c>
      <c r="B308" s="1" t="str">
        <f ca="1">IFERROR(__xludf.DUMFUNCTION("GOOGLETRANSLATE(A326,""id"",""en"")"),"Tell to use ")</f>
        <v xml:space="preserve">Tell to use </v>
      </c>
    </row>
    <row r="309" spans="1:2" x14ac:dyDescent="0.2">
      <c r="A309" s="1" t="s">
        <v>2628</v>
      </c>
      <c r="B309" s="1" t="str">
        <f ca="1">IFERROR(__xludf.DUMFUNCTION("GOOGLETRANSLATE(A327,""id"",""en"")"),"Please, ")</f>
        <v xml:space="preserve">Please, </v>
      </c>
    </row>
    <row r="310" spans="1:2" x14ac:dyDescent="0.2">
      <c r="A310" s="1" t="s">
        <v>2629</v>
      </c>
      <c r="B310" s="1" t="str">
        <f ca="1">IFERROR(__xludf.DUMFUNCTION("GOOGLETRANSLATE(A328,""id"",""en"")"),"Buy Pertalite Buy Gas Kg Jg List  Crazy Regime")</f>
        <v>Buy Pertalite Buy Gas Kg Jg List  Crazy Regime</v>
      </c>
    </row>
    <row r="311" spans="1:2" x14ac:dyDescent="0.2">
      <c r="A311" s="1" t="s">
        <v>2630</v>
      </c>
      <c r="B311" s="1" t="str">
        <f ca="1">IFERROR(__xludf.DUMFUNCTION("GOOGLETRANSLATE(A329,""id"",""en"")"),"cool huh campaign app install ")</f>
        <v xml:space="preserve">cool huh campaign app install </v>
      </c>
    </row>
    <row r="312" spans="1:2" x14ac:dyDescent="0.2">
      <c r="A312" s="1" t="s">
        <v>2631</v>
      </c>
      <c r="B312" s="1" t="str">
        <f ca="1">IFERROR(__xludf.DUMFUNCTION("GOOGLETRANSLATE(A330,""id"",""en"")"),"Jabar Jabar Jabar Trial Test List  Purchase BBMBMBSidi Application Jabar")</f>
        <v>Jabar Jabar Jabar Trial Test List  Purchase BBMBMBSidi Application Jabar</v>
      </c>
    </row>
    <row r="313" spans="1:2" x14ac:dyDescent="0.2">
      <c r="A313" s="1" t="s">
        <v>2632</v>
      </c>
      <c r="B313" s="1" t="str">
        <f ca="1">IFERROR(__xludf.DUMFUNCTION("GOOGLETRANSLATE(A331,""id"",""en"")"),"The ones who tubir the pertalite tubir using  move aside on the haji shell onh plus plus ape giname, bro, the month of Pertamax migrated because of the shell migraine price")</f>
        <v>The ones who tubir the pertalite tubir using  move aside on the haji shell onh plus plus ape giname, bro, the month of Pertamax migrated because of the shell migraine price</v>
      </c>
    </row>
    <row r="314" spans="1:2" x14ac:dyDescent="0.2">
      <c r="A314" s="1" t="s">
        <v>20</v>
      </c>
      <c r="B314" s="1" t="str">
        <f ca="1">IFERROR(__xludf.DUMFUNCTION("GOOGLETRANSLATE(A332,""id"",""en"")"),"Reviewing")</f>
        <v>Reviewing</v>
      </c>
    </row>
    <row r="315" spans="1:2" x14ac:dyDescent="0.2">
      <c r="A315" s="1" t="s">
        <v>2633</v>
      </c>
      <c r="B315" s="1" t="str">
        <f ca="1">IFERROR(__xludf.DUMFUNCTION("GOOGLETRANSLATE(A333,""id"",""en"")")," is firm for  Kendara Roda")</f>
        <v xml:space="preserve"> is firm for  Kendara Roda</v>
      </c>
    </row>
    <row r="316" spans="1:2" x14ac:dyDescent="0.2">
      <c r="A316" s="1" t="s">
        <v>2634</v>
      </c>
      <c r="B316" s="1" t="str">
        <f ca="1">IFERROR(__xludf.DUMFUNCTION("GOOGLETRANSLATE(A334,""id"",""en"")"),"please info so weird the   morning application")</f>
        <v>please info so weird the   morning application</v>
      </c>
    </row>
    <row r="317" spans="1:2" x14ac:dyDescent="0.2">
      <c r="A317" s="1" t="s">
        <v>2635</v>
      </c>
      <c r="B317" s="1" t="str">
        <f ca="1">IFERROR(__xludf.DUMFUNCTION("GOOGLETRANSLATE(A335,""id"",""en"")"),"Many negative  application reviews")</f>
        <v>Many negative  application reviews</v>
      </c>
    </row>
    <row r="318" spans="1:2" x14ac:dyDescent="0.2">
      <c r="A318" s="1" t="s">
        <v>2636</v>
      </c>
      <c r="B318" s="1" t="str">
        <f ca="1">IFERROR(__xludf.DUMFUNCTION("GOOGLETRANSLATE(A336,""id"",""en"")"),"belongs to the smartphone angkot driver complain about the contents of the BBM  application")</f>
        <v>belongs to the smartphone angkot driver complain about the contents of the BBM  application</v>
      </c>
    </row>
    <row r="319" spans="1:2" x14ac:dyDescent="0.2">
      <c r="A319" s="1" t="s">
        <v>21</v>
      </c>
      <c r="B319" s="1" t="str">
        <f ca="1">IFERROR(__xludf.DUMFUNCTION("GOOGLETRANSLATE(A337,""id"",""en"")"),"Buy Fuel Subsidies Pertalite Solar Special Limits of Kendara List")</f>
        <v>Buy Fuel Subsidies Pertalite Solar Special Limits of Kendara List</v>
      </c>
    </row>
    <row r="320" spans="1:2" x14ac:dyDescent="0.2">
      <c r="A320" s="1" t="s">
        <v>22</v>
      </c>
      <c r="B320" s="1" t="str">
        <f ca="1">IFERROR(__xludf.DUMFUNCTION("GOOGLETRANSLATE(A338,""id"",""en"")"),"for friends who are confused check the faq below updated when they know confused about the background of the Sasar Subsidy program")</f>
        <v>for friends who are confused check the faq below updated when they know confused about the background of the Sasar Subsidy program</v>
      </c>
    </row>
    <row r="321" spans="1:2" x14ac:dyDescent="0.2">
      <c r="A321" s="1" t="s">
        <v>2637</v>
      </c>
      <c r="B321" s="1" t="str">
        <f ca="1">IFERROR(__xludf.DUMFUNCTION("GOOGLETRANSLATE(A339,""id"",""en"")"),"poor people buy lpg kg using very ")</f>
        <v xml:space="preserve">poor people buy lpg kg using very </v>
      </c>
    </row>
    <row r="322" spans="1:2" x14ac:dyDescent="0.2">
      <c r="A322" s="1" t="s">
        <v>2638</v>
      </c>
      <c r="B322" s="1" t="str">
        <f ca="1">IFERROR(__xludf.DUMFUNCTION("GOOGLETRANSLATE(A340,""id"",""en"")"),"no person mobile phone sis, read using  download qrcode pointing at buying a test program of several locations")</f>
        <v>no person mobile phone sis, read using  download qrcode pointing at buying a test program of several locations</v>
      </c>
    </row>
    <row r="323" spans="1:2" x14ac:dyDescent="0.2">
      <c r="A323" s="1" t="s">
        <v>2378</v>
      </c>
      <c r="B323" s="1" t="str">
        <f ca="1">IFERROR(__xludf.DUMFUNCTION("GOOGLETRANSLATE(A341,""id"",""en"")"),"  SPBU SAFE SELL Call Phone")</f>
        <v xml:space="preserve">  SPBU SAFE SELL Call Phone</v>
      </c>
    </row>
    <row r="324" spans="1:2" x14ac:dyDescent="0.2">
      <c r="A324" s="1" t="s">
        <v>2639</v>
      </c>
      <c r="B324" s="1" t="str">
        <f ca="1">IFERROR(__xludf.DUMFUNCTION("GOOGLETRANSLATE(A342,""id"",""en"")"),"I thought the contents of BBM gas stations could be a profit of the  application that was present easily")</f>
        <v>I thought the contents of BBM gas stations could be a profit of the  application that was present easily</v>
      </c>
    </row>
    <row r="325" spans="1:2" x14ac:dyDescent="0.2">
      <c r="A325" s="1" t="s">
        <v>2640</v>
      </c>
      <c r="B325" s="1" t="str">
        <f ca="1">IFERROR(__xludf.DUMFUNCTION("GOOGLETRANSLATE(A343,""id"",""en"")"),"Paying Cash Debit Not Just Link Links Buy Pertalite Kendara Car Wheel If you buy Pertamax using , it's not really free")</f>
        <v>Paying Cash Debit Not Just Link Links Buy Pertalite Kendara Car Wheel If you buy Pertamax using , it's not really free</v>
      </c>
    </row>
    <row r="326" spans="1:2" x14ac:dyDescent="0.2">
      <c r="A326" s="1" t="s">
        <v>2641</v>
      </c>
      <c r="B326" s="1" t="str">
        <f ca="1">IFERROR(__xludf.DUMFUNCTION("GOOGLETRANSLATE(A344,""id"",""en"")")," weapon if the contents of the pertalite are told to open ")</f>
        <v xml:space="preserve"> weapon if the contents of the pertalite are told to open </v>
      </c>
    </row>
    <row r="327" spans="1:2" x14ac:dyDescent="0.2">
      <c r="A327" s="1" t="s">
        <v>2642</v>
      </c>
      <c r="B327" s="1" t="str">
        <f ca="1">IFERROR(__xludf.DUMFUNCTION("GOOGLETRANSLATE(A345,""id"",""en"")"),"Answered  Bright Gas Pertamax guys, let's join the river fishing fish grilled fish eating full rules giveaway, hopefully the wrong win")</f>
        <v>Answered  Bright Gas Pertamax guys, let's join the river fishing fish grilled fish eating full rules giveaway, hopefully the wrong win</v>
      </c>
    </row>
    <row r="328" spans="1:2" x14ac:dyDescent="0.2">
      <c r="A328" s="1" t="s">
        <v>2643</v>
      </c>
      <c r="B328" s="1" t="str">
        <f ca="1">IFERROR(__xludf.DUMFUNCTION("GOOGLETRANSLATE(A346,""id"",""en"")")," Hajar application diarrhea netizens rating plummeted htt")</f>
        <v xml:space="preserve"> Hajar application diarrhea netizens rating plummeted htt</v>
      </c>
    </row>
    <row r="329" spans="1:2" x14ac:dyDescent="0.2">
      <c r="A329" s="1" t="s">
        <v>2644</v>
      </c>
      <c r="B329" s="1" t="str">
        <f ca="1">IFERROR(__xludf.DUMFUNCTION("GOOGLETRANSLATE(A347,""id"",""en"")"),"Gathering Bad Review Netizen  Google Apps")</f>
        <v>Gathering Bad Review Netizen  Google Apps</v>
      </c>
    </row>
    <row r="330" spans="1:2" x14ac:dyDescent="0.2">
      <c r="A330" s="1" t="s">
        <v>2645</v>
      </c>
      <c r="B330" s="1" t="str">
        <f ca="1">IFERROR(__xludf.DUMFUNCTION("GOOGLETRANSLATE(A348,""id"",""en"")"),"Buy LPG Kg using  Realization")</f>
        <v>Buy LPG Kg using  Realization</v>
      </c>
    </row>
    <row r="331" spans="1:2" x14ac:dyDescent="0.2">
      <c r="A331" s="1" t="s">
        <v>2646</v>
      </c>
      <c r="B331" s="1" t="str">
        <f ca="1">IFERROR(__xludf.DUMFUNCTION("GOOGLETRANSLATE(A349,""id"",""en"")"),"wkwkwk  Cacad Bet Application")</f>
        <v>wkwkwk  Cacad Bet Application</v>
      </c>
    </row>
    <row r="332" spans="1:2" x14ac:dyDescent="0.2">
      <c r="A332" s="1" t="s">
        <v>2647</v>
      </c>
      <c r="B332" s="1" t="str">
        <f ca="1">IFERROR(__xludf.DUMFUNCTION("GOOGLETRANSLATE(A350,""id"",""en"")"),"List of BBM subsidies for the  Website Special Roda ThePhraseid   Pertalite")</f>
        <v>List of BBM subsidies for the  Website Special Roda ThePhraseid   Pertalite</v>
      </c>
    </row>
    <row r="333" spans="1:2" x14ac:dyDescent="0.2">
      <c r="A333" s="1" t="s">
        <v>2648</v>
      </c>
      <c r="B333" s="1" t="str">
        <f ca="1">IFERROR(__xludf.DUMFUNCTION("GOOGLETRANSLATE(A351,""id"",""en"")"),"How do Bandung people fill gasoline using  smoothly")</f>
        <v>How do Bandung people fill gasoline using  smoothly</v>
      </c>
    </row>
    <row r="334" spans="1:2" x14ac:dyDescent="0.2">
      <c r="A334" s="1" t="s">
        <v>2649</v>
      </c>
      <c r="B334" s="1" t="str">
        <f ca="1">IFERROR(__xludf.DUMFUNCTION("GOOGLETRANSLATE(A352,""id"",""en"")"),"Fill Pertalite Gasoline Open the  Mobile Application")</f>
        <v>Fill Pertalite Gasoline Open the  Mobile Application</v>
      </c>
    </row>
    <row r="335" spans="1:2" x14ac:dyDescent="0.2">
      <c r="A335" s="1" t="s">
        <v>2650</v>
      </c>
      <c r="B335" s="1" t="str">
        <f ca="1">IFERROR(__xludf.DUMFUNCTION("GOOGLETRANSLATE(A353,""id"",""en"")"),"for the  application, pay flat via the web.")</f>
        <v>for the  application, pay flat via the web.</v>
      </c>
    </row>
    <row r="336" spans="1:2" x14ac:dyDescent="0.2">
      <c r="A336" s="1" t="s">
        <v>2651</v>
      </c>
      <c r="B336" s="1" t="str">
        <f ca="1">IFERROR(__xludf.DUMFUNCTION("GOOGLETRANSLATE(A354,""id"",""en"")"),"Yes, it is wrong wrong to take care of the country wkwkwkwk  complicated pertalite")</f>
        <v>Yes, it is wrong wrong to take care of the country wkwkwkwk  complicated pertalite</v>
      </c>
    </row>
    <row r="337" spans="1:2" x14ac:dyDescent="0.2">
      <c r="A337" s="1" t="s">
        <v>2652</v>
      </c>
      <c r="B337" s="1" t="str">
        <f ca="1">IFERROR(__xludf.DUMFUNCTION("GOOGLETRANSLATE(A355,""id"",""en"")"),"Article Paragraph of Bumi Water Rich in Biological In the Asai of the Great State of Makmur People of ")</f>
        <v xml:space="preserve">Article Paragraph of Bumi Water Rich in Biological In the Asai of the Great State of Makmur People of </v>
      </c>
    </row>
    <row r="338" spans="1:2" x14ac:dyDescent="0.2">
      <c r="A338" s="1" t="s">
        <v>2653</v>
      </c>
      <c r="B338" s="1" t="str">
        <f ca="1">IFERROR(__xludf.DUMFUNCTION("GOOGLETRANSLATE(A356,""id"",""en"")"),"I in the morning the intention of buying gasoline but  is asu, it's not verified")</f>
        <v>I in the morning the intention of buying gasoline but  is asu, it's not verified</v>
      </c>
    </row>
    <row r="339" spans="1:2" x14ac:dyDescent="0.2">
      <c r="A339" s="1" t="s">
        <v>2654</v>
      </c>
      <c r="B339" s="1" t="str">
        <f ca="1">IFERROR(__xludf.DUMFUNCTION("GOOGLETRANSLATE(A357,""id"",""en"")"),"If you really use the Palikation, the application is correct, the verification is already tried, but it's not weird using the application, it's not right to buy Pertamax, yes, ")</f>
        <v xml:space="preserve">If you really use the Palikation, the application is correct, the verification is already tried, but it's not weird using the application, it's not right to buy Pertamax, yes, </v>
      </c>
    </row>
    <row r="340" spans="1:2" x14ac:dyDescent="0.2">
      <c r="A340" s="1" t="s">
        <v>2655</v>
      </c>
      <c r="B340" s="1" t="str">
        <f ca="1">IFERROR(__xludf.DUMFUNCTION("GOOGLETRANSLATE(A358,""id"",""en"")"),"Buy Gasoline Solar Application  Officially Use Motorcycles Santai Not Believed")</f>
        <v>Buy Gasoline Solar Application  Officially Use Motorcycles Santai Not Believed</v>
      </c>
    </row>
    <row r="341" spans="1:2" x14ac:dyDescent="0.2">
      <c r="A341" s="1" t="s">
        <v>23</v>
      </c>
      <c r="B341" s="1" t="str">
        <f ca="1">IFERROR(__xludf.DUMFUNCTION("GOOGLETRANSLATE(A359,""id"",""en"")"),"September the limit of buying fuel fuel fuel subsidized implementation of the island of Java Jakarta")</f>
        <v>September the limit of buying fuel fuel fuel subsidized implementation of the island of Java Jakarta</v>
      </c>
    </row>
    <row r="342" spans="1:2" x14ac:dyDescent="0.2">
      <c r="A342" s="1" t="s">
        <v>2656</v>
      </c>
      <c r="B342" s="1" t="str">
        <f ca="1">IFERROR(__xludf.DUMFUNCTION("GOOGLETRANSLATE(A360,""id"",""en"")"),"Beware of Fake  Applications see the list of websites")</f>
        <v>Beware of Fake  Applications see the list of websites</v>
      </c>
    </row>
    <row r="343" spans="1:2" x14ac:dyDescent="0.2">
      <c r="A343" s="1" t="s">
        <v>2657</v>
      </c>
      <c r="B343" s="1" t="str">
        <f ca="1">IFERROR(__xludf.DUMFUNCTION("GOOGLETRANSLATE(A361,""id"",""en"")"),"Tahun using the  application is not complicated, fill the wallet link when you pay using the app.")</f>
        <v>Tahun using the  application is not complicated, fill the wallet link when you pay using the app.</v>
      </c>
    </row>
    <row r="344" spans="1:2" x14ac:dyDescent="0.2">
      <c r="A344" s="1" t="s">
        <v>2658</v>
      </c>
      <c r="B344" s="1" t="str">
        <f ca="1">IFERROR(__xludf.DUMFUNCTION("GOOGLETRANSLATE(A362,""id"",""en"")")," Application Asked to Buy Bbm SPBU Woe due to the HP Area that was reported")</f>
        <v xml:space="preserve"> Application Asked to Buy Bbm SPBU Woe due to the HP Area that was reported</v>
      </c>
    </row>
    <row r="345" spans="1:2" x14ac:dyDescent="0.2">
      <c r="A345" s="1" t="s">
        <v>2659</v>
      </c>
      <c r="B345" s="1" t="str">
        <f ca="1">IFERROR(__xludf.DUMFUNCTION("GOOGLETRANSLATE(A363,""id"",""en"")"),"Banjarmasin residents buy pertalite must use  Banjarmasin residents buy Batola Banjarbaru Peat")</f>
        <v>Banjarmasin residents buy pertalite must use  Banjarmasin residents buy Batola Banjarbaru Peat</v>
      </c>
    </row>
    <row r="346" spans="1:2" x14ac:dyDescent="0.2">
      <c r="A346" s="1" t="s">
        <v>2660</v>
      </c>
      <c r="B346" s="1" t="str">
        <f ca="1">IFERROR(__xludf.DUMFUNCTION("GOOGLETRANSLATE(A364,""id"",""en"")"),"Pertalite Solar Buy LPG Kg  MerahPutihcom Application LPG Gas Kg ")</f>
        <v xml:space="preserve">Pertalite Solar Buy LPG Kg  MerahPutihcom Application LPG Gas Kg </v>
      </c>
    </row>
    <row r="347" spans="1:2" x14ac:dyDescent="0.2">
      <c r="A347" s="1" t="s">
        <v>2661</v>
      </c>
      <c r="B347" s="1" t="str">
        <f ca="1">IFERROR(__xludf.DUMFUNCTION("GOOGLETRANSLATE(A365,""id"",""en"")"),"Morning annoyed  application verification has rejected the signal right")</f>
        <v>Morning annoyed  application verification has rejected the signal right</v>
      </c>
    </row>
    <row r="348" spans="1:2" x14ac:dyDescent="0.2">
      <c r="A348" s="1" t="s">
        <v>2662</v>
      </c>
      <c r="B348" s="1" t="str">
        <f ca="1">IFERROR(__xludf.DUMFUNCTION("GOOGLETRANSLATE(A366,""id"",""en"")")," application just love stars, reports of crowded ps make life difficult hahaha")</f>
        <v xml:space="preserve"> application just love stars, reports of crowded ps make life difficult hahaha</v>
      </c>
    </row>
    <row r="349" spans="1:2" x14ac:dyDescent="0.2">
      <c r="A349" s="1" t="s">
        <v>2663</v>
      </c>
      <c r="B349" s="1" t="str">
        <f ca="1">IFERROR(__xludf.DUMFUNCTION("GOOGLETRANSLATE(A367,""id"",""en"")")," Launching Application Year Not Downloading Make Capital Building Difficult Apps People Golong Difficult")</f>
        <v xml:space="preserve"> Launching Application Year Not Downloading Make Capital Building Difficult Apps People Golong Difficult</v>
      </c>
    </row>
    <row r="350" spans="1:2" x14ac:dyDescent="0.2">
      <c r="A350" s="1" t="s">
        <v>2664</v>
      </c>
      <c r="B350" s="1" t="str">
        <f ca="1">IFERROR(__xludf.DUMFUNCTION("GOOGLETRANSLATE(A368,""id"",""en"")"),"from PDA confused  mending angkot just dl")</f>
        <v>from PDA confused  mending angkot just dl</v>
      </c>
    </row>
    <row r="351" spans="1:2" x14ac:dyDescent="0.2">
      <c r="A351" s="1" t="s">
        <v>2665</v>
      </c>
      <c r="B351" s="1" t="str">
        <f ca="1">IFERROR(__xludf.DUMFUNCTION("GOOGLETRANSLATE(A369,""id"",""en"")"),"buy pertalite using ")</f>
        <v xml:space="preserve">buy pertalite using </v>
      </c>
    </row>
    <row r="352" spans="1:2" x14ac:dyDescent="0.2">
      <c r="A352" s="1" t="s">
        <v>2666</v>
      </c>
      <c r="B352" s="1" t="str">
        <f ca="1">IFERROR(__xludf.DUMFUNCTION("GOOGLETRANSLATE(A371,""id"",""en"")")," wisely buy pertalite using  the boundaries")</f>
        <v xml:space="preserve"> wisely buy pertalite using  the boundaries</v>
      </c>
    </row>
    <row r="353" spans="1:2" x14ac:dyDescent="0.2">
      <c r="A353" s="1" t="s">
        <v>2667</v>
      </c>
      <c r="B353" s="1" t="str">
        <f ca="1">IFERROR(__xludf.DUMFUNCTION("GOOGLETRANSLATE(A372,""id"",""en"")"),"if you are forced to force the  application because I can download the application not the application not serving")</f>
        <v>if you are forced to force the  application because I can download the application not the application not serving</v>
      </c>
    </row>
    <row r="354" spans="1:2" x14ac:dyDescent="0.2">
      <c r="A354" s="1" t="s">
        <v>2668</v>
      </c>
      <c r="B354" s="1" t="str">
        <f ca="1">IFERROR(__xludf.DUMFUNCTION("GOOGLETRANSLATE(A373,""id"",""en"")"),"You are using , the test material is not explosive")</f>
        <v>You are using , the test material is not explosive</v>
      </c>
    </row>
    <row r="355" spans="1:2" x14ac:dyDescent="0.2">
      <c r="A355" s="1" t="s">
        <v>2669</v>
      </c>
      <c r="B355" s="1" t="str">
        <f ca="1">IFERROR(__xludf.DUMFUNCTION("GOOGLETRANSLATE(A374,""id"",""en"")"),"friend, you know, the official application of the  application  Application Official Download Install Google Store App Store Official Application")</f>
        <v>friend, you know, the official application of the  application  Application Official Download Install Google Store App Store Official Application</v>
      </c>
    </row>
    <row r="356" spans="1:2" x14ac:dyDescent="0.2">
      <c r="A356" s="1" t="s">
        <v>2670</v>
      </c>
      <c r="B356" s="1" t="str">
        <f ca="1">IFERROR(__xludf.DUMFUNCTION("GOOGLETRANSLATE(A375,""id"",""en"")"),"Terpiep Buy Pertalite using  Motor Tempootomotive Laku")</f>
        <v>Terpiep Buy Pertalite using  Motor Tempootomotive Laku</v>
      </c>
    </row>
    <row r="357" spans="1:2" x14ac:dyDescent="0.2">
      <c r="A357" s="1" t="s">
        <v>2645</v>
      </c>
      <c r="B357" s="1" t="str">
        <f ca="1">IFERROR(__xludf.DUMFUNCTION("GOOGLETRANSLATE(A377,""id"",""en"")"),"Buy LPG Kg using  Realization")</f>
        <v>Buy LPG Kg using  Realization</v>
      </c>
    </row>
    <row r="358" spans="1:2" x14ac:dyDescent="0.2">
      <c r="A358" s="1" t="s">
        <v>2671</v>
      </c>
      <c r="B358" s="1" t="str">
        <f ca="1">IFERROR(__xludf.DUMFUNCTION("GOOGLETRANSLATE(A378,""id"",""en"")"),"System Buy Pertalite Solar Application  July Limits Buy Cooperation Cooperation Building Cooperation")</f>
        <v>System Buy Pertalite Solar Application  July Limits Buy Cooperation Cooperation Building Cooperation</v>
      </c>
    </row>
    <row r="359" spans="1:2" x14ac:dyDescent="0.2">
      <c r="A359" s="1" t="s">
        <v>952</v>
      </c>
      <c r="B359" s="1" t="str">
        <f ca="1">IFERROR(__xludf.DUMFUNCTION("GOOGLETRANSLATE(A379,""id"",""en"")"),"PT  Persero APPROVED MECHANISM OF BBM BBM Special Website Kendara Roda Mobil Money")</f>
        <v>PT  Persero APPROVED MECHANISM OF BBM BBM Special Website Kendara Roda Mobil Money</v>
      </c>
    </row>
    <row r="360" spans="1:2" x14ac:dyDescent="0.2">
      <c r="A360" s="1" t="s">
        <v>24</v>
      </c>
      <c r="B360" s="1" t="str">
        <f ca="1">IFERROR(__xludf.DUMFUNCTION("GOOGLETRANSLATE(A380,""id"",""en"")"),"Ken's intention to go forward petronas back to bother the people of the gas station remember not playing the cellphone of Petronas not using the conditions for buying gasoline rhuhp kemangkungkunkam")</f>
        <v>Ken's intention to go forward petronas back to bother the people of the gas station remember not playing the cellphone of Petronas not using the conditions for buying gasoline rhuhp kemangkungkunkam</v>
      </c>
    </row>
    <row r="361" spans="1:2" x14ac:dyDescent="0.2">
      <c r="A361" s="1" t="s">
        <v>2671</v>
      </c>
      <c r="B361" s="1" t="str">
        <f ca="1">IFERROR(__xludf.DUMFUNCTION("GOOGLETRANSLATE(A381,""id"",""en"")"),"System Buy Pertalite Solar Application  July Limits Buy Cooperation Cooperation Building Cooperation")</f>
        <v>System Buy Pertalite Solar Application  July Limits Buy Cooperation Cooperation Building Cooperation</v>
      </c>
    </row>
    <row r="362" spans="1:2" x14ac:dyDescent="0.2">
      <c r="A362" s="1" t="s">
        <v>2672</v>
      </c>
      <c r="B362" s="1" t="str">
        <f ca="1">IFERROR(__xludf.DUMFUNCTION("GOOGLETRANSLATE(A382,""id"",""en"")"),"the results of the poll of citizens aiming for wisely to buy Pertalite amp Solar Mandatory List of  Elshin")</f>
        <v>the results of the poll of citizens aiming for wisely to buy Pertalite amp Solar Mandatory List of  Elshin</v>
      </c>
    </row>
    <row r="363" spans="1:2" x14ac:dyDescent="0.2">
      <c r="A363" s="1" t="s">
        <v>2673</v>
      </c>
      <c r="B363" s="1" t="str">
        <f ca="1">IFERROR(__xludf.DUMFUNCTION("GOOGLETRANSLATE(A383,""id"",""en"")"),"Yesterday tried to buy gasoline using a  app to get a self -service pump so fun")</f>
        <v>Yesterday tried to buy gasoline using a  app to get a self -service pump so fun</v>
      </c>
    </row>
    <row r="364" spans="1:2" x14ac:dyDescent="0.2">
      <c r="A364" s="1" t="s">
        <v>2674</v>
      </c>
      <c r="B364" s="1" t="str">
        <f ca="1">IFERROR(__xludf.DUMFUNCTION("GOOGLETRANSLATE(A384,""id"",""en"")"),"btw  can't be verified")</f>
        <v>btw  can't be verified</v>
      </c>
    </row>
    <row r="365" spans="1:2" x14ac:dyDescent="0.2">
      <c r="A365" s="1" t="s">
        <v>2675</v>
      </c>
      <c r="B365" s="1" t="str">
        <f ca="1">IFERROR(__xludf.DUMFUNCTION("GOOGLETRANSLATE(A385,""id"",""en"")"),"Very  Makes a Perfect Evaluation Night Application")</f>
        <v>Very  Makes a Perfect Evaluation Night Application</v>
      </c>
    </row>
    <row r="366" spans="1:2" x14ac:dyDescent="0.2">
      <c r="A366" s="1" t="s">
        <v>2676</v>
      </c>
      <c r="B366" s="1" t="str">
        <f ca="1">IFERROR(__xludf.DUMFUNCTION("GOOGLETRANSLATE(A386,""id"",""en"")"),"Yesterday tried to buy gasoline using  app, I got a self -service pump so fun, the country when I paid using direct debit Rp.")</f>
        <v>Yesterday tried to buy gasoline using  app, I got a self -service pump so fun, the country when I paid using direct debit Rp.</v>
      </c>
    </row>
    <row r="367" spans="1:2" x14ac:dyDescent="0.2">
      <c r="A367" s="1" t="s">
        <v>2675</v>
      </c>
      <c r="B367" s="1" t="str">
        <f ca="1">IFERROR(__xludf.DUMFUNCTION("GOOGLETRANSLATE(A387,""id"",""en"")"),"Very  Makes a Perfect Evaluation Night Application")</f>
        <v>Very  Makes a Perfect Evaluation Night Application</v>
      </c>
    </row>
    <row r="368" spans="1:2" x14ac:dyDescent="0.2">
      <c r="A368" s="1" t="s">
        <v>2677</v>
      </c>
      <c r="B368" s="1" t="str">
        <f ca="1">IFERROR(__xludf.DUMFUNCTION("GOOGLETRANSLATE(A388,""id"",""en"")"),"I've installed the  application")</f>
        <v>I've installed the  application</v>
      </c>
    </row>
    <row r="369" spans="1:2" x14ac:dyDescent="0.2">
      <c r="A369" s="1" t="s">
        <v>2678</v>
      </c>
      <c r="B369" s="1" t="str">
        <f ca="1">IFERROR(__xludf.DUMFUNCTION("GOOGLETRANSLATE(A389,""id"",""en"")"),"Roundup Juli Buy Pertalite Solar List of  Applications")</f>
        <v>Roundup Juli Buy Pertalite Solar List of  Applications</v>
      </c>
    </row>
    <row r="370" spans="1:2" x14ac:dyDescent="0.2">
      <c r="A370" s="1" t="s">
        <v>2679</v>
      </c>
      <c r="B370" s="1" t="str">
        <f ca="1">IFERROR(__xludf.DUMFUNCTION("GOOGLETRANSLATE(A390,""id"",""en"")"),"add using  special wheels")</f>
        <v>add using  special wheels</v>
      </c>
    </row>
    <row r="371" spans="1:2" x14ac:dyDescent="0.2">
      <c r="A371" s="1" t="s">
        <v>2680</v>
      </c>
      <c r="B371" s="1" t="str">
        <f ca="1">IFERROR(__xludf.DUMFUNCTION("GOOGLETRANSLATE(A391,""id"",""en"")"),"Like the people compact rejecting using  to buy pertalite ahok, it doesn't work to work on the people SJ")</f>
        <v>Like the people compact rejecting using  to buy pertalite ahok, it doesn't work to work on the people SJ</v>
      </c>
    </row>
    <row r="372" spans="1:2" x14ac:dyDescent="0.2">
      <c r="A372" s="1" t="s">
        <v>25</v>
      </c>
      <c r="B372" s="1" t="str">
        <f ca="1">IFERROR(__xludf.DUMFUNCTION("GOOGLETRANSLATE(A392,""id"",""en"")"),"Salur Sasar")</f>
        <v>Salur Sasar</v>
      </c>
    </row>
    <row r="373" spans="1:2" x14ac:dyDescent="0.2">
      <c r="A373" s="1" t="s">
        <v>2681</v>
      </c>
      <c r="B373" s="1" t="str">
        <f ca="1">IFERROR(__xludf.DUMFUNCTION("GOOGLETRANSLATE(A393,""id"",""en"")")," wisely bought pertalite using  the boundaries of cooperation")</f>
        <v xml:space="preserve"> wisely bought pertalite using  the boundaries of cooperation</v>
      </c>
    </row>
    <row r="374" spans="1:2" x14ac:dyDescent="0.2">
      <c r="A374" s="1" t="s">
        <v>26</v>
      </c>
      <c r="B374" s="1" t="str">
        <f ca="1">IFERROR(__xludf.DUMFUNCTION("GOOGLETRANSLATE(A394,""id"",""en"")"),"Sasar")</f>
        <v>Sasar</v>
      </c>
    </row>
    <row r="375" spans="1:2" x14ac:dyDescent="0.2">
      <c r="A375" s="1" t="s">
        <v>27</v>
      </c>
      <c r="B375" s="1" t="str">
        <f ca="1">IFERROR(__xludf.DUMFUNCTION("GOOGLETRANSLATE(A396,""id"",""en"")"),"The usual promise with the link reply nder")</f>
        <v>The usual promise with the link reply nder</v>
      </c>
    </row>
    <row r="376" spans="1:2" x14ac:dyDescent="0.2">
      <c r="A376" s="1" t="s">
        <v>2682</v>
      </c>
      <c r="B376" s="1" t="str">
        <f ca="1">IFERROR(__xludf.DUMFUNCTION("GOOGLETRANSLATE(A397,""id"",""en"")"),"Criticism for  PB HMI is difficult for the people to get BBM")</f>
        <v>Criticism for  PB HMI is difficult for the people to get BBM</v>
      </c>
    </row>
    <row r="377" spans="1:2" x14ac:dyDescent="0.2">
      <c r="A377" s="1" t="s">
        <v>2683</v>
      </c>
      <c r="B377" s="1" t="str">
        <f ca="1">IFERROR(__xludf.DUMFUNCTION("GOOGLETRANSLATE(A398,""id"",""en"")"),"Use the  application")</f>
        <v>Use the  application</v>
      </c>
    </row>
    <row r="378" spans="1:2" x14ac:dyDescent="0.2">
      <c r="A378" s="1" t="s">
        <v>2684</v>
      </c>
      <c r="B378" s="1" t="str">
        <f ca="1">IFERROR(__xludf.DUMFUNCTION("GOOGLETRANSLATE(A399,""id"",""en"")"),"thinking  mending kirin")</f>
        <v>thinking  mending kirin</v>
      </c>
    </row>
    <row r="379" spans="1:2" x14ac:dyDescent="0.2">
      <c r="A379" s="1" t="s">
        <v>2685</v>
      </c>
      <c r="B379" s="1" t="str">
        <f ca="1">IFERROR(__xludf.DUMFUNCTION("GOOGLETRANSLATE(A400,""id"",""en"")"),"min already download  diplaystore failed to list the list of thedest numbers for the list of call centers, then what are the solutions")</f>
        <v>min already download  diplaystore failed to list the list of thedest numbers for the list of call centers, then what are the solutions</v>
      </c>
    </row>
    <row r="380" spans="1:2" x14ac:dyDescent="0.2">
      <c r="A380" s="1" t="s">
        <v>2686</v>
      </c>
      <c r="B380" s="1" t="str">
        <f ca="1">IFERROR(__xludf.DUMFUNCTION("GOOGLETRANSLATE(A401,""id"",""en"")")," rich people who are pro regime pertalite prey of luxury car predators")</f>
        <v xml:space="preserve"> rich people who are pro regime pertalite prey of luxury car predators</v>
      </c>
    </row>
    <row r="381" spans="1:2" x14ac:dyDescent="0.2">
      <c r="A381" s="1" t="s">
        <v>2687</v>
      </c>
      <c r="B381" s="1" t="str">
        <f ca="1">IFERROR(__xludf.DUMFUNCTION("GOOGLETRANSLATE(A402,""id"",""en"")"),"the order of buying system buying solar application  application juni limit buying cooperation to build")</f>
        <v>the order of buying system buying solar application  application juni limit buying cooperation to build</v>
      </c>
    </row>
    <row r="382" spans="1:2" x14ac:dyDescent="0.2">
      <c r="A382" s="1" t="s">
        <v>2688</v>
      </c>
      <c r="B382" s="1" t="str">
        <f ca="1">IFERROR(__xludf.DUMFUNCTION("GOOGLETRANSLATE(A403,""id"",""en"")"),"Let's look at the Appeal Dr. Minister Congratulations Let's follow the advice of the Minister ")</f>
        <v xml:space="preserve">Let's look at the Appeal Dr. Minister Congratulations Let's follow the advice of the Minister </v>
      </c>
    </row>
    <row r="383" spans="1:2" x14ac:dyDescent="0.2">
      <c r="A383" s="1" t="s">
        <v>2689</v>
      </c>
      <c r="B383" s="1" t="str">
        <f ca="1">IFERROR(__xludf.DUMFUNCTION("GOOGLETRANSLATE(A404,""id"",""en"")"),"calm Pertalite solar subsidies buy using cash in Surabaya, the people of East Java, panic the issue of the BBM BBM subsidy    Ekbis")</f>
        <v>calm Pertalite solar subsidies buy using cash in Surabaya, the people of East Java, panic the issue of the BBM BBM subsidy    Ekbis</v>
      </c>
    </row>
    <row r="384" spans="1:2" x14ac:dyDescent="0.2">
      <c r="A384" s="1" t="s">
        <v>2690</v>
      </c>
      <c r="B384" s="1" t="str">
        <f ca="1">IFERROR(__xludf.DUMFUNCTION("GOOGLETRANSLATE(A405,""id"",""en"")"),"Yes, use ")</f>
        <v xml:space="preserve">Yes, use </v>
      </c>
    </row>
    <row r="385" spans="1:2" x14ac:dyDescent="0.2">
      <c r="A385" s="1" t="s">
        <v>2691</v>
      </c>
      <c r="B385" s="1" t="str">
        <f ca="1">IFERROR(__xludf.DUMFUNCTION("GOOGLETRANSLATE(A406,""id"",""en"")"),"Review of the  Application Many Stars")</f>
        <v>Review of the  Application Many Stars</v>
      </c>
    </row>
    <row r="386" spans="1:2" x14ac:dyDescent="0.2">
      <c r="A386" s="1" t="s">
        <v>2692</v>
      </c>
      <c r="B386" s="1" t="str">
        <f ca="1">IFERROR(__xludf.DUMFUNCTION("GOOGLETRANSLATE(A407,""id"",""en"")"),"Pay using Cash Debit Urus belonging to the gas station Pay using the link, just take care of the personal consumer of Bengsin using  Linkaja intention to control liter, just focus there")</f>
        <v>Pay using Cash Debit Urus belonging to the gas station Pay using the link, just take care of the personal consumer of Bengsin using  Linkaja intention to control liter, just focus there</v>
      </c>
    </row>
    <row r="387" spans="1:2" x14ac:dyDescent="0.2">
      <c r="A387" s="1" t="s">
        <v>2693</v>
      </c>
      <c r="B387" s="1" t="str">
        <f ca="1">IFERROR(__xludf.DUMFUNCTION("GOOGLETRANSLATE(A408,""id"",""en"")"),"Crazy  Data NIK STNK Complete Indonesian photo vehicle cuy imagine the list of  to buy gasoline cars horrified just leaked.")</f>
        <v>Crazy  Data NIK STNK Complete Indonesian photo vehicle cuy imagine the list of  to buy gasoline cars horrified just leaked.</v>
      </c>
    </row>
    <row r="388" spans="1:2" x14ac:dyDescent="0.2">
      <c r="A388" s="1" t="s">
        <v>2694</v>
      </c>
      <c r="B388" s="1" t="str">
        <f ca="1">IFERROR(__xludf.DUMFUNCTION("GOOGLETRANSLATE(A409,""id"",""en"")"),"Let's turn on the fuel contents according to the direction of , see the consequences")</f>
        <v>Let's turn on the fuel contents according to the direction of , see the consequences</v>
      </c>
    </row>
    <row r="389" spans="1:2" x14ac:dyDescent="0.2">
      <c r="A389" s="1" t="s">
        <v>2695</v>
      </c>
      <c r="B389" s="1" t="str">
        <f ca="1">IFERROR(__xludf.DUMFUNCTION("GOOGLETRANSLATE(A410,""id"",""en"")"),"if  sells , fortunately, selling BBM applications, ma'am")</f>
        <v>if  sells , fortunately, selling BBM applications, ma'am</v>
      </c>
    </row>
    <row r="390" spans="1:2" x14ac:dyDescent="0.2">
      <c r="A390" s="1" t="s">
        <v>28</v>
      </c>
      <c r="B390" s="1" t="str">
        <f ca="1">IFERROR(__xludf.DUMFUNCTION("GOOGLETRANSLATE(A411,""id"",""en"")"),"Lantar Kumparannews system")</f>
        <v>Lantar Kumparannews system</v>
      </c>
    </row>
    <row r="391" spans="1:2" x14ac:dyDescent="0.2">
      <c r="A391" s="1" t="s">
        <v>2696</v>
      </c>
      <c r="B391" s="1" t="str">
        <f ca="1">IFERROR(__xludf.DUMFUNCTION("GOOGLETRANSLATE(A412,""id"",""en"")")," debut wisely to buy pertalite pakak  the boundaries")</f>
        <v xml:space="preserve"> debut wisely to buy pertalite pakak  the boundaries</v>
      </c>
    </row>
    <row r="392" spans="1:2" x14ac:dyDescent="0.2">
      <c r="A392" s="1" t="s">
        <v>2697</v>
      </c>
      <c r="B392" s="1" t="str">
        <f ca="1">IFERROR(__xludf.DUMFUNCTION("GOOGLETRANSLATE(A413,""id"",""en"")"),"wheels that must use ")</f>
        <v xml:space="preserve">wheels that must use </v>
      </c>
    </row>
    <row r="393" spans="1:2" x14ac:dyDescent="0.2">
      <c r="A393" s="1" t="s">
        <v>2698</v>
      </c>
      <c r="B393" s="1" t="str">
        <f ca="1">IFERROR(__xludf.DUMFUNCTION("GOOGLETRANSLATE(A414,""id"",""en"")"),"Buy LPG using  saying the digital era of your ID card")</f>
        <v>Buy LPG using  saying the digital era of your ID card</v>
      </c>
    </row>
    <row r="394" spans="1:2" x14ac:dyDescent="0.2">
      <c r="A394" s="1" t="s">
        <v>29</v>
      </c>
      <c r="B394" s="1" t="str">
        <f ca="1">IFERROR(__xludf.DUMFUNCTION("GOOGLETRANSLATE(A415,""id"",""en"")"),"July List of BBM Use of Pertalite Kendara Roda Kota Kompas City")</f>
        <v>July List of BBM Use of Pertalite Kendara Roda Kota Kompas City</v>
      </c>
    </row>
    <row r="395" spans="1:2" x14ac:dyDescent="0.2">
      <c r="A395" s="1" t="s">
        <v>2699</v>
      </c>
      <c r="B395" s="1" t="str">
        <f ca="1">IFERROR(__xludf.DUMFUNCTION("GOOGLETRANSLATE(A416,""id"",""en"")"),"Min, I'm active in  in the morning, the contents of the fuel but don't log in")</f>
        <v>Min, I'm active in  in the morning, the contents of the fuel but don't log in</v>
      </c>
    </row>
    <row r="396" spans="1:2" x14ac:dyDescent="0.2">
      <c r="A396" s="1" t="s">
        <v>2700</v>
      </c>
      <c r="B396" s="1" t="str">
        <f ca="1">IFERROR(__xludf.DUMFUNCTION("GOOGLETRANSLATE(A417,""id"",""en"")"),"July news buying a solar pertalite using the  luxury wheel application that is filled with pertalite already found Alphard Vellfire who fills in full tank Pertalite")</f>
        <v>July news buying a solar pertalite using the  luxury wheel application that is filled with pertalite already found Alphard Vellfire who fills in full tank Pertalite</v>
      </c>
    </row>
    <row r="397" spans="1:2" x14ac:dyDescent="0.2">
      <c r="A397" s="1" t="s">
        <v>2701</v>
      </c>
      <c r="B397" s="1" t="str">
        <f ca="1">IFERROR(__xludf.DUMFUNCTION("GOOGLETRANSLATE(A418,""id"",""en"")"),"Nahrawi Noerdin wisely for  application data Salur BBM ACCURATE SUBSIDI ")</f>
        <v xml:space="preserve">Nahrawi Noerdin wisely for  application data Salur BBM ACCURATE SUBSIDI </v>
      </c>
    </row>
    <row r="398" spans="1:2" x14ac:dyDescent="0.2">
      <c r="A398" s="1" t="s">
        <v>2702</v>
      </c>
      <c r="B398" s="1" t="str">
        <f ca="1">IFERROR(__xludf.DUMFUNCTION("GOOGLETRANSLATE(A419,""id"",""en"")")," is indeed set to buy bengsin using  accommodation Familiar with the Pay Application using Linkaja Manage Liter Liter Payment Dr.")</f>
        <v xml:space="preserve"> is indeed set to buy bengsin using  accommodation Familiar with the Pay Application using Linkaja Manage Liter Liter Payment Dr.</v>
      </c>
    </row>
    <row r="399" spans="1:2" x14ac:dyDescent="0.2">
      <c r="A399" s="1" t="s">
        <v>2703</v>
      </c>
      <c r="B399" s="1" t="str">
        <f ca="1">IFERROR(__xludf.DUMFUNCTION("GOOGLETRANSLATE(A420,""id"",""en"")")," Apk and Borrow Online Believe")</f>
        <v xml:space="preserve"> Apk and Borrow Online Believe</v>
      </c>
    </row>
    <row r="400" spans="1:2" x14ac:dyDescent="0.2">
      <c r="A400" s="1" t="s">
        <v>2458</v>
      </c>
      <c r="B400" s="1" t="str">
        <f ca="1">IFERROR(__xludf.DUMFUNCTION("GOOGLETRANSLATE(A421,""id"",""en"")"),"List of BBM subsidies for a special  website")</f>
        <v>List of BBM subsidies for a special  website</v>
      </c>
    </row>
    <row r="401" spans="1:2" x14ac:dyDescent="0.2">
      <c r="A401" s="1" t="s">
        <v>2704</v>
      </c>
      <c r="B401" s="1" t="str">
        <f ca="1">IFERROR(__xludf.DUMFUNCTION("GOOGLETRANSLATE(A422,""id"",""en"")")," error")</f>
        <v xml:space="preserve"> error</v>
      </c>
    </row>
    <row r="402" spans="1:2" x14ac:dyDescent="0.2">
      <c r="A402" s="1" t="s">
        <v>2705</v>
      </c>
      <c r="B402" s="1" t="str">
        <f ca="1">IFERROR(__xludf.DUMFUNCTION("GOOGLETRANSLATE(A423,""id"",""en"")"),"Wrong Bude Family Group FWD WA Conspiracy Theory Linkaja Application  yaa basically about the cost of admin thousand silver like dude commented  comment")</f>
        <v>Wrong Bude Family Group FWD WA Conspiracy Theory Linkaja Application  yaa basically about the cost of admin thousand silver like dude commented  comment</v>
      </c>
    </row>
    <row r="403" spans="1:2" x14ac:dyDescent="0.2">
      <c r="A403" s="1" t="s">
        <v>2706</v>
      </c>
      <c r="B403" s="1" t="str">
        <f ca="1">IFERROR(__xludf.DUMFUNCTION("GOOGLETRANSLATE(A424,""id"",""en"")"),"already filled out eeh failed capedee wkwkwk from the  application gajle clear")</f>
        <v>already filled out eeh failed capedee wkwkwk from the  application gajle clear</v>
      </c>
    </row>
    <row r="404" spans="1:2" x14ac:dyDescent="0.2">
      <c r="A404" s="1" t="s">
        <v>2707</v>
      </c>
      <c r="B404" s="1" t="str">
        <f ca="1">IFERROR(__xludf.DUMFUNCTION("GOOGLETRANSLATE(A425,""id"",""en"")"),"the order of buying system buying solar application  application in July the limit of buying cooperation is to build the cooperation")</f>
        <v>the order of buying system buying solar application  application in July the limit of buying cooperation is to build the cooperation</v>
      </c>
    </row>
    <row r="405" spans="1:2" x14ac:dyDescent="0.2">
      <c r="A405" s="1" t="s">
        <v>2708</v>
      </c>
      <c r="B405" s="1" t="str">
        <f ca="1">IFERROR(__xludf.DUMFUNCTION("GOOGLETRANSLATE(A426,""id"",""en"")"),"Congratulations on Juli Happy  Day")</f>
        <v>Congratulations on Juli Happy  Day</v>
      </c>
    </row>
    <row r="406" spans="1:2" x14ac:dyDescent="0.2">
      <c r="A406" s="1" t="s">
        <v>2666</v>
      </c>
      <c r="B406" s="1" t="str">
        <f ca="1">IFERROR(__xludf.DUMFUNCTION("GOOGLETRANSLATE(A427,""id"",""en"")")," wisely buy pertalite using  the boundaries")</f>
        <v xml:space="preserve"> wisely buy pertalite using  the boundaries</v>
      </c>
    </row>
    <row r="407" spans="1:2" x14ac:dyDescent="0.2">
      <c r="A407" s="1" t="s">
        <v>2709</v>
      </c>
      <c r="B407" s="1" t="str">
        <f ca="1">IFERROR(__xludf.DUMFUNCTION("GOOGLETRANSLATE(A428,""id"",""en"")"),"Info Lockers Barista who salary pay boarding house pay in installments, love  parents, , eat, nongki Sunday")</f>
        <v>Info Lockers Barista who salary pay boarding house pay in installments, love  parents, , eat, nongki Sunday</v>
      </c>
    </row>
    <row r="408" spans="1:2" x14ac:dyDescent="0.2">
      <c r="A408" s="1" t="s">
        <v>2710</v>
      </c>
      <c r="B408" s="1" t="str">
        <f ca="1">IFERROR(__xludf.DUMFUNCTION("GOOGLETRANSLATE(A429,""id"",""en"")"),"Jabodetabek people joined the Panic Buying of Jabodetabek Pertalite.")</f>
        <v>Jabodetabek people joined the Panic Buying of Jabodetabek Pertalite.</v>
      </c>
    </row>
    <row r="409" spans="1:2" x14ac:dyDescent="0.2">
      <c r="A409" s="1" t="s">
        <v>2711</v>
      </c>
      <c r="B409" s="1" t="str">
        <f ca="1">IFERROR(__xludf.DUMFUNCTION("GOOGLETRANSLATE(A430,""id"",""en"")"),"News Jabar Disdagin Kota Bandung City  Application Pertalite DisdaginKotabungkung Application BBMBersidi")</f>
        <v>News Jabar Disdagin Kota Bandung City  Application Pertalite DisdaginKotabungkung Application BBMBersidi</v>
      </c>
    </row>
    <row r="410" spans="1:2" x14ac:dyDescent="0.2">
      <c r="A410" s="1" t="s">
        <v>2712</v>
      </c>
      <c r="B410" s="1" t="str">
        <f ca="1">IFERROR(__xludf.DUMFUNCTION("GOOGLETRANSLATE(A431,""id"",""en"")"),"buy bulk cooking oil using the protected caring application buy pertalite using the  application for a while buying rice using the sawah application buy milk using the nenen application buy diaper using the kun application times yakbettt")</f>
        <v>buy bulk cooking oil using the protected caring application buy pertalite using the  application for a while buying rice using the sawah application buy milk using the nenen application buy diaper using the kun application times yakbettt</v>
      </c>
    </row>
    <row r="411" spans="1:2" x14ac:dyDescent="0.2">
      <c r="A411" s="1" t="s">
        <v>2713</v>
      </c>
      <c r="B411" s="1" t="str">
        <f ca="1">IFERROR(__xludf.DUMFUNCTION("GOOGLETRANSLATE(A432,""id"",""en"")"),"POV Open  when buying Pertalite")</f>
        <v>POV Open  when buying Pertalite</v>
      </c>
    </row>
    <row r="412" spans="1:2" x14ac:dyDescent="0.2">
      <c r="A412" s="1" t="s">
        <v>2714</v>
      </c>
      <c r="B412" s="1" t="str">
        <f ca="1">IFERROR(__xludf.DUMFUNCTION("GOOGLETRANSLATE(A433,""id"",""en"")"),"Actually I am wise  is not complicated, I am in the car, I don't bring a car if I just sit capital, it's not complicated to buy gasoline")</f>
        <v>Actually I am wise  is not complicated, I am in the car, I don't bring a car if I just sit capital, it's not complicated to buy gasoline</v>
      </c>
    </row>
    <row r="413" spans="1:2" x14ac:dyDescent="0.2">
      <c r="A413" s="1" t="s">
        <v>2715</v>
      </c>
      <c r="B413" s="1" t="str">
        <f ca="1">IFERROR(__xludf.DUMFUNCTION("GOOGLETRANSLATE(A434,""id"",""en"")"),"idly dftar  if lg bandung already entered the otp really until sending otp eeh appeared ginian moloo surprised but the red plate")</f>
        <v>idly dftar  if lg bandung already entered the otp really until sending otp eeh appeared ginian moloo surprised but the red plate</v>
      </c>
    </row>
    <row r="414" spans="1:2" x14ac:dyDescent="0.2">
      <c r="A414" s="1" t="s">
        <v>2716</v>
      </c>
      <c r="B414" s="1" t="str">
        <f ca="1">IFERROR(__xludf.DUMFUNCTION("GOOGLETRANSLATE(A435,""id"",""en"")"),"yes, yes, use the  dahhhhhh application so that for the motorbike, how do you register, how to use the hp dog link, there are many applications")</f>
        <v>yes, yes, use the  dahhhhhh application so that for the motorbike, how do you register, how to use the hp dog link, there are many applications</v>
      </c>
    </row>
    <row r="415" spans="1:2" x14ac:dyDescent="0.2">
      <c r="A415" s="1" t="s">
        <v>2717</v>
      </c>
      <c r="B415" s="1" t="str">
        <f ca="1">IFERROR(__xludf.DUMFUNCTION("GOOGLETRANSLATE(A436,""id"",""en"")")," Trial Laku  HP Solution")</f>
        <v xml:space="preserve"> Trial Laku  HP Solution</v>
      </c>
    </row>
    <row r="416" spans="1:2" x14ac:dyDescent="0.2">
      <c r="A416" s="1" t="s">
        <v>2718</v>
      </c>
      <c r="B416" s="1" t="str">
        <f ca="1">IFERROR(__xludf.DUMFUNCTION("GOOGLETRANSLATE(A437,""id"",""en"")"),"September Jawa Buy Pertalite Using ")</f>
        <v xml:space="preserve">September Jawa Buy Pertalite Using </v>
      </c>
    </row>
    <row r="417" spans="1:2" x14ac:dyDescent="0.2">
      <c r="A417" s="1" t="s">
        <v>2719</v>
      </c>
      <c r="B417" s="1" t="str">
        <f ca="1">IFERROR(__xludf.DUMFUNCTION("GOOGLETRANSLATE(A438,""id"",""en"")"),"Corporate Communication of PT  Firm  Hati Hati the Official Application of   Communications Communications Corporate Corporate Communicasikita application Pertalite Solar BBM POM SPBU News News Info")</f>
        <v>Corporate Communication of PT  Firm  Hati Hati the Official Application of   Communications Communications Corporate Corporate Communicasikita application Pertalite Solar BBM POM SPBU News News Info</v>
      </c>
    </row>
    <row r="418" spans="1:2" x14ac:dyDescent="0.2">
      <c r="A418" s="1" t="s">
        <v>2720</v>
      </c>
      <c r="B418" s="1" t="str">
        <f ca="1">IFERROR(__xludf.DUMFUNCTION("GOOGLETRANSLATE(A439,""id"",""en"")"),"Buy LPG Kg  Flower System Application")</f>
        <v>Buy LPG Kg  Flower System Application</v>
      </c>
    </row>
    <row r="419" spans="1:2" x14ac:dyDescent="0.2">
      <c r="A419" s="1" t="s">
        <v>2721</v>
      </c>
      <c r="B419" s="1" t="str">
        <f ca="1">IFERROR(__xludf.DUMFUNCTION("GOOGLETRANSLATE(A440,""id"",""en"")")," Crash Pas July")</f>
        <v xml:space="preserve"> Crash Pas July</v>
      </c>
    </row>
    <row r="420" spans="1:2" x14ac:dyDescent="0.2">
      <c r="A420" s="1" t="s">
        <v>2717</v>
      </c>
      <c r="B420" s="1" t="str">
        <f ca="1">IFERROR(__xludf.DUMFUNCTION("GOOGLETRANSLATE(A441,""id"",""en"")")," Trial Laku  HP Solution")</f>
        <v xml:space="preserve"> Trial Laku  HP Solution</v>
      </c>
    </row>
    <row r="421" spans="1:2" x14ac:dyDescent="0.2">
      <c r="A421" s="1" t="s">
        <v>2722</v>
      </c>
      <c r="B421" s="1" t="str">
        <f ca="1">IFERROR(__xludf.DUMFUNCTION("GOOGLETRANSLATE(A442,""id"",""en"")"),"Forced Uninstall Bumble so that the download room for ")</f>
        <v xml:space="preserve">Forced Uninstall Bumble so that the download room for </v>
      </c>
    </row>
    <row r="422" spans="1:2" x14ac:dyDescent="0.2">
      <c r="A422" s="1" t="s">
        <v>2723</v>
      </c>
      <c r="B422" s="1" t="str">
        <f ca="1">IFERROR(__xludf.DUMFUNCTION("GOOGLETRANSLATE(A443,""id"",""en"")"),"Calm down the Mandatory Motorcycle Motorcycle  Buy Pertalite Click Read")</f>
        <v>Calm down the Mandatory Motorcycle Motorcycle  Buy Pertalite Click Read</v>
      </c>
    </row>
    <row r="423" spans="1:2" x14ac:dyDescent="0.2">
      <c r="A423" s="1" t="s">
        <v>2724</v>
      </c>
      <c r="B423" s="1" t="str">
        <f ca="1">IFERROR(__xludf.DUMFUNCTION("GOOGLETRANSLATE(A444,""id"",""en"")"),"Buy Migor GT NIK Cares Protection Apps Buy Pertalite GT  Buy GT GT  Core Gas Dr. Makes complicated")</f>
        <v>Buy Migor GT NIK Cares Protection Apps Buy Pertalite GT  Buy GT GT  Core Gas Dr. Makes complicated</v>
      </c>
    </row>
    <row r="424" spans="1:2" x14ac:dyDescent="0.2">
      <c r="A424" s="1" t="s">
        <v>2503</v>
      </c>
      <c r="B424" s="1" t="str">
        <f ca="1">IFERROR(__xludf.DUMFUNCTION("GOOGLETRANSLATE(A445,""id"",""en"")"),"Anxiously Congratulations on Buying BBM Residents Kuningan Refuses to ")</f>
        <v xml:space="preserve">Anxiously Congratulations on Buying BBM Residents Kuningan Refuses to </v>
      </c>
    </row>
    <row r="425" spans="1:2" x14ac:dyDescent="0.2">
      <c r="A425" s="1" t="s">
        <v>953</v>
      </c>
      <c r="B425" s="1" t="str">
        <f ca="1">IFERROR(__xludf.DUMFUNCTION("GOOGLETRANSLATE(A446,""id"",""en"")")," Business Secretary Patra Niaga IRTO Ginting Impatient Requirements for LPG Buying")</f>
        <v xml:space="preserve"> Business Secretary Patra Niaga IRTO Ginting Impatient Requirements for LPG Buying</v>
      </c>
    </row>
    <row r="426" spans="1:2" x14ac:dyDescent="0.2">
      <c r="A426" s="1" t="s">
        <v>2725</v>
      </c>
      <c r="B426" s="1" t="str">
        <f ca="1">IFERROR(__xludf.DUMFUNCTION("GOOGLETRANSLATE(A447,""id"",""en"")"),"you know the dangerous gas station cell phone since the  application is truly gagging")</f>
        <v>you know the dangerous gas station cell phone since the  application is truly gagging</v>
      </c>
    </row>
    <row r="427" spans="1:2" x14ac:dyDescent="0.2">
      <c r="A427" s="1" t="s">
        <v>2726</v>
      </c>
      <c r="B427" s="1" t="str">
        <f ca="1">IFERROR(__xludf.DUMFUNCTION("GOOGLETRANSLATE(A448,""id"",""en"")"),"the gas station facility is  application area")</f>
        <v>the gas station facility is  application area</v>
      </c>
    </row>
    <row r="428" spans="1:2" x14ac:dyDescent="0.2">
      <c r="A428" s="1" t="s">
        <v>2727</v>
      </c>
      <c r="B428" s="1" t="str">
        <f ca="1">IFERROR(__xludf.DUMFUNCTION("GOOGLETRANSLATE(A449,""id"",""en"")"),"Playing Hp SPBU forbids NE to buy BBM using  scan qr code not using cellphones")</f>
        <v>Playing Hp SPBU forbids NE to buy BBM using  scan qr code not using cellphones</v>
      </c>
    </row>
    <row r="429" spans="1:2" x14ac:dyDescent="0.2">
      <c r="A429" s="1" t="s">
        <v>2708</v>
      </c>
      <c r="B429" s="1" t="str">
        <f ca="1">IFERROR(__xludf.DUMFUNCTION("GOOGLETRANSLATE(A450,""id"",""en"")"),"Congratulations on Juli Happy  Day")</f>
        <v>Congratulations on Juli Happy  Day</v>
      </c>
    </row>
    <row r="430" spans="1:2" x14ac:dyDescent="0.2">
      <c r="A430" s="1" t="s">
        <v>2728</v>
      </c>
      <c r="B430" s="1" t="str">
        <f ca="1">IFERROR(__xludf.DUMFUNCTION("GOOGLETRANSLATE(A451,""id"",""en"")"),"use  better buy gasoline show the vehicle vehicle registration vehicle for buying a big tax vehicle pertalite luxury vehicle buying pertamax")</f>
        <v>use  better buy gasoline show the vehicle vehicle registration vehicle for buying a big tax vehicle pertalite luxury vehicle buying pertamax</v>
      </c>
    </row>
    <row r="431" spans="1:2" x14ac:dyDescent="0.2">
      <c r="A431" s="1" t="s">
        <v>2729</v>
      </c>
      <c r="B431" s="1" t="str">
        <f ca="1">IFERROR(__xludf.DUMFUNCTION("GOOGLETRANSLATE(A452,""id"",""en"")"),"buy a gas stall, I also use ")</f>
        <v xml:space="preserve">buy a gas stall, I also use </v>
      </c>
    </row>
    <row r="432" spans="1:2" x14ac:dyDescent="0.2">
      <c r="A432" s="1" t="s">
        <v>2730</v>
      </c>
      <c r="B432" s="1" t="str">
        <f ca="1">IFERROR(__xludf.DUMFUNCTION("GOOGLETRANSLATE(A453,""id"",""en"")"),"LOOK LOOK BUY PERTALITE SOLAR SPBU ")</f>
        <v xml:space="preserve">LOOK LOOK BUY PERTALITE SOLAR SPBU </v>
      </c>
    </row>
    <row r="433" spans="1:2" x14ac:dyDescent="0.2">
      <c r="A433" s="1" t="s">
        <v>2731</v>
      </c>
      <c r="B433" s="1" t="str">
        <f ca="1">IFERROR(__xludf.DUMFUNCTION("GOOGLETRANSLATE(A454,""id"",""en"")"),"Pertalite Buy LPG Kilogram Gas Using  The Details List Checks the Complete Link Pertalite   Trending Fyp Fyp Looking for Popular Knowing")</f>
        <v>Pertalite Buy LPG Kilogram Gas Using  The Details List Checks the Complete Link Pertalite   Trending Fyp Fyp Looking for Popular Knowing</v>
      </c>
    </row>
    <row r="434" spans="1:2" x14ac:dyDescent="0.2">
      <c r="A434" s="1" t="s">
        <v>30</v>
      </c>
      <c r="B434" s="1" t="str">
        <f ca="1">IFERROR(__xludf.DUMFUNCTION("GOOGLETRANSLATE(A455,""id"",""en"")"),"Iriana Jokowi Symbolic Help Help Human Medicine for Scientific Center for Endo Surgery")</f>
        <v>Iriana Jokowi Symbolic Help Help Human Medicine for Scientific Center for Endo Surgery</v>
      </c>
    </row>
    <row r="435" spans="1:2" x14ac:dyDescent="0.2">
      <c r="A435" s="1" t="s">
        <v>2732</v>
      </c>
      <c r="B435" s="1" t="str">
        <f ca="1">IFERROR(__xludf.DUMFUNCTION("GOOGLETRANSLATE(A457,""id"",""en"")"),"Rp")</f>
        <v>Rp</v>
      </c>
    </row>
    <row r="436" spans="1:2" x14ac:dyDescent="0.2">
      <c r="A436" s="1" t="s">
        <v>2733</v>
      </c>
      <c r="B436" s="1" t="str">
        <f ca="1">IFERROR(__xludf.DUMFUNCTION("GOOGLETRANSLATE(A458,""id"",""en"")"),"the fact of turning  read the scattered gaes")</f>
        <v>the fact of turning  read the scattered gaes</v>
      </c>
    </row>
    <row r="437" spans="1:2" x14ac:dyDescent="0.2">
      <c r="A437" s="1" t="s">
        <v>2734</v>
      </c>
      <c r="B437" s="1" t="str">
        <f ca="1">IFERROR(__xludf.DUMFUNCTION("GOOGLETRANSLATE(A459,""id"",""en"")"),"piye wes nganggo  failed")</f>
        <v>piye wes nganggo  failed</v>
      </c>
    </row>
    <row r="438" spans="1:2" x14ac:dyDescent="0.2">
      <c r="A438" s="1" t="s">
        <v>2735</v>
      </c>
      <c r="B438" s="1" t="str">
        <f ca="1">IFERROR(__xludf.DUMFUNCTION("GOOGLETRANSLATE(A460,""id"",""en"")"),"Moment of Love  ")</f>
        <v xml:space="preserve">Moment of Love  </v>
      </c>
    </row>
    <row r="439" spans="1:2" x14ac:dyDescent="0.2">
      <c r="A439" s="1" t="s">
        <v>2736</v>
      </c>
      <c r="B439" s="1" t="str">
        <f ca="1">IFERROR(__xludf.DUMFUNCTION("GOOGLETRANSLATE(A461,""id"",""en"")"),"how do the  application is difficult")</f>
        <v>how do the  application is difficult</v>
      </c>
    </row>
    <row r="440" spans="1:2" x14ac:dyDescent="0.2">
      <c r="A440" s="1" t="s">
        <v>2455</v>
      </c>
      <c r="B440" s="1" t="str">
        <f ca="1">IFERROR(__xludf.DUMFUNCTION("GOOGLETRANSLATE(A462,""id"",""en"")"),"there is the results of  subsidized registration guys at dawn  subsidized subsidies")</f>
        <v>there is the results of  subsidized registration guys at dawn  subsidized subsidies</v>
      </c>
    </row>
    <row r="441" spans="1:2" x14ac:dyDescent="0.2">
      <c r="A441" s="1" t="s">
        <v>2737</v>
      </c>
      <c r="B441" s="1" t="str">
        <f ca="1">IFERROR(__xludf.DUMFUNCTION("GOOGLETRANSLATE(A463,""id"",""en"")"),"who are aimed at protests wisely for  application to buy a solar pertalite for the application")</f>
        <v>who are aimed at protests wisely for  application to buy a solar pertalite for the application</v>
      </c>
    </row>
    <row r="442" spans="1:2" x14ac:dyDescent="0.2">
      <c r="A442" s="1" t="s">
        <v>2738</v>
      </c>
      <c r="B442" s="1" t="str">
        <f ca="1">IFERROR(__xludf.DUMFUNCTION("GOOGLETRANSLATE(A464,""id"",""en"")"),"don't take pictures of gas stations, min using a cellphone, you can use ")</f>
        <v xml:space="preserve">don't take pictures of gas stations, min using a cellphone, you can use </v>
      </c>
    </row>
    <row r="443" spans="1:2" x14ac:dyDescent="0.2">
      <c r="A443" s="1" t="s">
        <v>2739</v>
      </c>
      <c r="B443" s="1" t="str">
        <f ca="1">IFERROR(__xludf.DUMFUNCTION("GOOGLETRANSLATE(A465,""id"",""en"")"),"Buy gasoline, you have to install  specialia")</f>
        <v>Buy gasoline, you have to install  specialia</v>
      </c>
    </row>
    <row r="444" spans="1:2" x14ac:dyDescent="0.2">
      <c r="A444" s="1" t="s">
        <v>2740</v>
      </c>
      <c r="B444" s="1" t="str">
        <f ca="1">IFERROR(__xludf.DUMFUNCTION("GOOGLETRANSLATE(A471,""id"",""en"")"),"wise plan to buy fuel subsidies from Pertalite Solar LPG Kg sells in July")</f>
        <v>wise plan to buy fuel subsidies from Pertalite Solar LPG Kg sells in July</v>
      </c>
    </row>
    <row r="445" spans="1:2" x14ac:dyDescent="0.2">
      <c r="A445" s="1" t="s">
        <v>2741</v>
      </c>
      <c r="B445" s="1" t="str">
        <f ca="1">IFERROR(__xludf.DUMFUNCTION("GOOGLETRANSLATE(A473,""id"",""en"")"),"the order of buying system buying solar application  application in July the limit of buying cooperation")</f>
        <v>the order of buying system buying solar application  application in July the limit of buying cooperation</v>
      </c>
    </row>
    <row r="446" spans="1:2" x14ac:dyDescent="0.2">
      <c r="A446" s="1" t="s">
        <v>2742</v>
      </c>
      <c r="B446" s="1" t="str">
        <f ca="1">IFERROR(__xludf.DUMFUNCTION("GOOGLETRANSLATE(A475,""id"",""en"")"),"times try to fail until the verification phase is re -verification of the   application, hurry up with gasoline if gin mah  whose cellphone does not fail to verify it first")</f>
        <v>times try to fail until the verification phase is re -verification of the   application, hurry up with gasoline if gin mah  whose cellphone does not fail to verify it first</v>
      </c>
    </row>
    <row r="447" spans="1:2" x14ac:dyDescent="0.2">
      <c r="A447" s="1" t="s">
        <v>2528</v>
      </c>
      <c r="B447" s="1" t="str">
        <f ca="1">IFERROR(__xludf.DUMFUNCTION("GOOGLETRANSLATE(A476,""id"",""en"")"),"Trial Buy Pertalite Using ")</f>
        <v xml:space="preserve">Trial Buy Pertalite Using </v>
      </c>
    </row>
    <row r="448" spans="1:2" x14ac:dyDescent="0.2">
      <c r="A448" s="1" t="s">
        <v>2743</v>
      </c>
      <c r="B448" s="1" t="str">
        <f ca="1">IFERROR(__xludf.DUMFUNCTION("GOOGLETRANSLATE(A479,""id"",""en"")"),"Min Install  HP immediately died life to death uninstall the normal cellphone, let's do the Apk, using the Indonesian people, Yok Yok")</f>
        <v>Min Install  HP immediately died life to death uninstall the normal cellphone, let's do the Apk, using the Indonesian people, Yok Yok</v>
      </c>
    </row>
    <row r="449" spans="1:2" x14ac:dyDescent="0.2">
      <c r="A449" s="1" t="s">
        <v>2744</v>
      </c>
      <c r="B449" s="1" t="str">
        <f ca="1">IFERROR(__xludf.DUMFUNCTION("GOOGLETRANSLATE(A480,""id"",""en"")"),"New Gacor Slot Game Ma Ma Link Slotgacorharihari Slotgame Slotgame Slotgacor slotonline Happy Birthday Slotgacor Uri Leader Haribhayangkare Sangebanget  Jin Waanjaiparty")</f>
        <v>New Gacor Slot Game Ma Ma Link Slotgacorharihari Slotgame Slotgame Slotgacor slotonline Happy Birthday Slotgacor Uri Leader Haribhayangkare Sangebanget  Jin Waanjaiparty</v>
      </c>
    </row>
    <row r="450" spans="1:2" x14ac:dyDescent="0.2">
      <c r="A450" s="1" t="s">
        <v>2745</v>
      </c>
      <c r="B450" s="1" t="str">
        <f ca="1">IFERROR(__xludf.DUMFUNCTION("GOOGLETRANSLATE(A481,""id"",""en"")")," isuk mah account kieu weh ah")</f>
        <v xml:space="preserve"> isuk mah account kieu weh ah</v>
      </c>
    </row>
    <row r="451" spans="1:2" x14ac:dyDescent="0.2">
      <c r="A451" s="1" t="s">
        <v>2746</v>
      </c>
      <c r="B451" s="1" t="str">
        <f ca="1">IFERROR(__xludf.DUMFUNCTION("GOOGLETRANSLATE(A482,""id"",""en"")"),"Buy subsidized fuel using  is indeed a premium subsidized pertalite deleted")</f>
        <v>Buy subsidized fuel using  is indeed a premium subsidized pertalite deleted</v>
      </c>
    </row>
    <row r="452" spans="1:2" x14ac:dyDescent="0.2">
      <c r="A452" s="1" t="s">
        <v>2504</v>
      </c>
      <c r="B452" s="1" t="str">
        <f ca="1">IFERROR(__xludf.DUMFUNCTION("GOOGLETRANSLATE(A483,""id"",""en"")")," Response Issue Buying LPG Gas Using  Application")</f>
        <v xml:space="preserve"> Response Issue Buying LPG Gas Using  Application</v>
      </c>
    </row>
    <row r="453" spans="1:2" x14ac:dyDescent="0.2">
      <c r="A453" s="1" t="s">
        <v>2747</v>
      </c>
      <c r="B453" s="1" t="str">
        <f ca="1">IFERROR(__xludf.DUMFUNCTION("GOOGLETRANSLATE(A484,""id"",""en"")"),"Date July Nobat  Happy  NATIONAL")</f>
        <v>Date July Nobat  Happy  NATIONAL</v>
      </c>
    </row>
    <row r="454" spans="1:2" x14ac:dyDescent="0.2">
      <c r="A454" s="1" t="s">
        <v>2748</v>
      </c>
      <c r="B454" s="1" t="str">
        <f ca="1">IFERROR(__xludf.DUMFUNCTION("GOOGLETRANSLATE(A485,""id"",""en"")"),"confused, open the  using a typewriter")</f>
        <v>confused, open the  using a typewriter</v>
      </c>
    </row>
    <row r="455" spans="1:2" x14ac:dyDescent="0.2">
      <c r="A455" s="1" t="s">
        <v>2411</v>
      </c>
      <c r="B455" s="1" t="str">
        <f ca="1">IFERROR(__xludf.DUMFUNCTION("GOOGLETRANSLATE(A486,""id"",""en"")"),"so 's stery")</f>
        <v>so 's stery</v>
      </c>
    </row>
    <row r="456" spans="1:2" x14ac:dyDescent="0.2">
      <c r="A456" s="1" t="s">
        <v>2749</v>
      </c>
      <c r="B456" s="1" t="str">
        <f ca="1">IFERROR(__xludf.DUMFUNCTION("GOOGLETRANSLATE(A487,""id"",""en"")"),"List of  July  Buy Pertalite Solar Via")</f>
        <v>List of  July  Buy Pertalite Solar Via</v>
      </c>
    </row>
    <row r="457" spans="1:2" x14ac:dyDescent="0.2">
      <c r="A457" s="1" t="s">
        <v>2750</v>
      </c>
      <c r="B457" s="1" t="str">
        <f ca="1">IFERROR(__xludf.DUMFUNCTION("GOOGLETRANSLATE(A488,""id"",""en"")"),"yes  must connect the link")</f>
        <v>yes  must connect the link</v>
      </c>
    </row>
    <row r="458" spans="1:2" x14ac:dyDescent="0.2">
      <c r="A458" s="1" t="s">
        <v>2751</v>
      </c>
      <c r="B458" s="1" t="str">
        <f ca="1">IFERROR(__xludf.DUMFUNCTION("GOOGLETRANSLATE(A489,""id"",""en"")"),"Digital Age Buy Gasoline  Applications Names, complaints from the public with the protected application yesterday, open the MGKN branch tomorrow, buy a motorcycle taxi pentol, need data verification")</f>
        <v>Digital Age Buy Gasoline  Applications Names, complaints from the public with the protected application yesterday, open the MGKN branch tomorrow, buy a motorcycle taxi pentol, need data verification</v>
      </c>
    </row>
    <row r="459" spans="1:2" x14ac:dyDescent="0.2">
      <c r="A459" s="1" t="s">
        <v>2752</v>
      </c>
      <c r="B459" s="1" t="str">
        <f ca="1">IFERROR(__xludf.DUMFUNCTION("GOOGLETRANSLATE(A490,""id"",""en"")"),"if not the  application, how about the qaqa list July web don't")</f>
        <v>if not the  application, how about the qaqa list July web don't</v>
      </c>
    </row>
    <row r="460" spans="1:2" x14ac:dyDescent="0.2">
      <c r="A460" s="1" t="s">
        <v>2753</v>
      </c>
      <c r="B460" s="1" t="str">
        <f ca="1">IFERROR(__xludf.DUMFUNCTION("GOOGLETRANSLATE(A491,""id"",""en"")")," jerk")</f>
        <v xml:space="preserve"> jerk</v>
      </c>
    </row>
    <row r="461" spans="1:2" x14ac:dyDescent="0.2">
      <c r="A461" s="1" t="s">
        <v>2754</v>
      </c>
      <c r="B461" s="1" t="str">
        <f ca="1">IFERROR(__xludf.DUMFUNCTION("GOOGLETRANSLATE(A492,""id"",""en"")")," is wise to buy pertalite using  the border of the face of the face of the hanging people joins the cooperation")</f>
        <v xml:space="preserve"> is wise to buy pertalite using  the border of the face of the face of the hanging people joins the cooperation</v>
      </c>
    </row>
    <row r="462" spans="1:2" x14ac:dyDescent="0.2">
      <c r="A462" s="1" t="s">
        <v>2755</v>
      </c>
      <c r="B462" s="1" t="str">
        <f ca="1">IFERROR(__xludf.DUMFUNCTION("GOOGLETRANSLATE(A493,""id"",""en"")"),"Mall uses protested to buy cooking oil using a KTP buy LPG gasoline using  giir")</f>
        <v>Mall uses protested to buy cooking oil using a KTP buy LPG gasoline using  giir</v>
      </c>
    </row>
    <row r="463" spans="1:2" x14ac:dyDescent="0.2">
      <c r="A463" s="1" t="s">
        <v>2756</v>
      </c>
      <c r="B463" s="1" t="str">
        <f ca="1">IFERROR(__xludf.DUMFUNCTION("GOOGLETRANSLATE(A494,""id"",""en"")"),"Read Sentences of Salantan Eye Subsidies whose subsidized names are the poor if you use  android whose apk is updated and then buy internet quota")</f>
        <v>Read Sentences of Salantan Eye Subsidies whose subsidized names are the poor if you use  android whose apk is updated and then buy internet quota</v>
      </c>
    </row>
    <row r="464" spans="1:2" x14ac:dyDescent="0.2">
      <c r="A464" s="1" t="s">
        <v>2757</v>
      </c>
      <c r="B464" s="1" t="str">
        <f ca="1">IFERROR(__xludf.DUMFUNCTION("GOOGLETRANSLATE(A495,""id"",""en"")"),"July Install ")</f>
        <v xml:space="preserve">July Install </v>
      </c>
    </row>
    <row r="465" spans="1:2" x14ac:dyDescent="0.2">
      <c r="A465" s="1" t="s">
        <v>2485</v>
      </c>
      <c r="B465" s="1" t="str">
        <f ca="1">IFERROR(__xludf.DUMFUNCTION("GOOGLETRANSLATE(A496,""id"",""en"")"),"list of buying pertalite using  open")</f>
        <v>list of buying pertalite using  open</v>
      </c>
    </row>
    <row r="466" spans="1:2" x14ac:dyDescent="0.2">
      <c r="A466" s="1" t="s">
        <v>954</v>
      </c>
      <c r="B466" s="1" t="str">
        <f ca="1">IFERROR(__xludf.DUMFUNCTION("GOOGLETRANSLATE(A497,""id"",""en"")")," Buy List of Mandatory Fuel Subsidies")</f>
        <v xml:space="preserve"> Buy List of Mandatory Fuel Subsidies</v>
      </c>
    </row>
    <row r="467" spans="1:2" x14ac:dyDescent="0.2">
      <c r="A467" s="1" t="s">
        <v>2758</v>
      </c>
      <c r="B467" s="1" t="str">
        <f ca="1">IFERROR(__xludf.DUMFUNCTION("GOOGLETRANSLATE(A498,""id"",""en"")"),"bangke ni this  application is really bothering")</f>
        <v>bangke ni this  application is really bothering</v>
      </c>
    </row>
    <row r="468" spans="1:2" x14ac:dyDescent="0.2">
      <c r="A468" s="1" t="s">
        <v>31</v>
      </c>
      <c r="B468" s="1" t="str">
        <f ca="1">IFERROR(__xludf.DUMFUNCTION("GOOGLETRANSLATE(A499,""id"",""en"")"),"Women sometimes forget how prices Muhammadiyah Taehyung Popo Lontong Instagram Jhope More")</f>
        <v>Women sometimes forget how prices Muhammadiyah Taehyung Popo Lontong Instagram Jhope More</v>
      </c>
    </row>
    <row r="469" spans="1:2" x14ac:dyDescent="0.2">
      <c r="A469" s="1" t="s">
        <v>2759</v>
      </c>
      <c r="B469" s="1" t="str">
        <f ca="1">IFERROR(__xludf.DUMFUNCTION("GOOGLETRANSLATE(A500,""id"",""en"")"),"Buy Pertalite Solar  Tempootomotive Application")</f>
        <v>Buy Pertalite Solar  Tempootomotive Application</v>
      </c>
    </row>
    <row r="470" spans="1:2" x14ac:dyDescent="0.2">
      <c r="A470" s="1" t="s">
        <v>2760</v>
      </c>
      <c r="B470" s="1" t="str">
        <f ca="1">IFERROR(__xludf.DUMFUNCTION("GOOGLETRANSLATE(A501,""id"",""en"")"),", of course, about the area, it's not cellular, it's not all the residents to use a motorbike using a smart phone pakde bude.")</f>
        <v>, of course, about the area, it's not cellular, it's not all the residents to use a motorbike using a smart phone pakde bude.</v>
      </c>
    </row>
    <row r="471" spans="1:2" x14ac:dyDescent="0.2">
      <c r="A471" s="1" t="s">
        <v>2761</v>
      </c>
      <c r="B471" s="1" t="str">
        <f ca="1">IFERROR(__xludf.DUMFUNCTION("GOOGLETRANSLATE(A502,""id"",""en"")"),"Bye June Welkam ")</f>
        <v xml:space="preserve">Bye June Welkam </v>
      </c>
    </row>
    <row r="472" spans="1:2" x14ac:dyDescent="0.2">
      <c r="A472" s="1" t="s">
        <v>2762</v>
      </c>
      <c r="B472" s="1" t="str">
        <f ca="1">IFERROR(__xludf.DUMFUNCTION("GOOGLETRANSLATE(A503,""id"",""en"")"),"The rating of  immediately plummeted YGY")</f>
        <v>The rating of  immediately plummeted YGY</v>
      </c>
    </row>
    <row r="473" spans="1:2" x14ac:dyDescent="0.2">
      <c r="A473" s="1" t="s">
        <v>2763</v>
      </c>
      <c r="B473" s="1" t="str">
        <f ca="1">IFERROR(__xludf.DUMFUNCTION("GOOGLETRANSLATE(A504,""id"",""en"")"),"looking for money to buy gas kg is difficult, how come the cellphone opens ")</f>
        <v xml:space="preserve">looking for money to buy gas kg is difficult, how come the cellphone opens </v>
      </c>
    </row>
    <row r="474" spans="1:2" x14ac:dyDescent="0.2">
      <c r="A474" s="1" t="s">
        <v>2764</v>
      </c>
      <c r="B474" s="1" t="str">
        <f ca="1">IFERROR(__xludf.DUMFUNCTION("GOOGLETRANSLATE(A505,""id"",""en"")"),"Wilujeng Enjing Ayeuna Meuli Bengsin Teu Make Money Make Applications for Anyiir ")</f>
        <v xml:space="preserve">Wilujeng Enjing Ayeuna Meuli Bengsin Teu Make Money Make Applications for Anyiir </v>
      </c>
    </row>
    <row r="475" spans="1:2" x14ac:dyDescent="0.2">
      <c r="A475" s="1" t="s">
        <v>2765</v>
      </c>
      <c r="B475" s="1" t="str">
        <f ca="1">IFERROR(__xludf.DUMFUNCTION("GOOGLETRANSLATE(A507,""id"",""en"")"),"good morning human beings kuaat strong in July, thank you for juni  ukraine putin honey madutrigona maduklanceng")</f>
        <v>good morning human beings kuaat strong in July, thank you for juni  ukraine putin honey madutrigona maduklanceng</v>
      </c>
    </row>
    <row r="476" spans="1:2" x14ac:dyDescent="0.2">
      <c r="A476" s="1" t="s">
        <v>2766</v>
      </c>
      <c r="B476" s="1" t="str">
        <f ca="1">IFERROR(__xludf.DUMFUNCTION("GOOGLETRANSLATE(A508,""id"",""en"")"),"Buy BBM Using the Application D still Buy Gas Kg Application  Application Click Get People's Money Click Open Open Duit Quality of the Regime of the Authority")</f>
        <v>Buy BBM Using the Application D still Buy Gas Kg Application  Application Click Get People's Money Click Open Open Duit Quality of the Regime of the Authority</v>
      </c>
    </row>
    <row r="477" spans="1:2" x14ac:dyDescent="0.2">
      <c r="A477" s="1" t="s">
        <v>2767</v>
      </c>
      <c r="B477" s="1" t="str">
        <f ca="1">IFERROR(__xludf.DUMFUNCTION("GOOGLETRANSLATE(A509,""id"",""en"")"),"try downloading  list already re -login already reset the password kek gin piyee iki")</f>
        <v>try downloading  list already re -login already reset the password kek gin piyee iki</v>
      </c>
    </row>
    <row r="478" spans="1:2" x14ac:dyDescent="0.2">
      <c r="A478" s="1" t="s">
        <v>2768</v>
      </c>
      <c r="B478" s="1" t="str">
        <f ca="1">IFERROR(__xludf.DUMFUNCTION("GOOGLETRANSLATE(A510,""id"",""en"")"),"PERTALITE SOLAR PLAN OTHAGE LIMITS BUY LPG KG APPLICATION ")</f>
        <v xml:space="preserve">PERTALITE SOLAR PLAN OTHAGE LIMITS BUY LPG KG APPLICATION </v>
      </c>
    </row>
    <row r="479" spans="1:2" x14ac:dyDescent="0.2">
      <c r="A479" s="1" t="s">
        <v>2769</v>
      </c>
      <c r="B479" s="1" t="str">
        <f ca="1">IFERROR(__xludf.DUMFUNCTION("GOOGLETRANSLATE(A511,""id"",""en"")"),"Bandung City Refuses Residents of Bandung City Refuses to Buy Pertalite Using the  Co.")</f>
        <v>Bandung City Refuses Residents of Bandung City Refuses to Buy Pertalite Using the  Co.</v>
      </c>
    </row>
    <row r="480" spans="1:2" x14ac:dyDescent="0.2">
      <c r="A480" s="1" t="s">
        <v>2770</v>
      </c>
      <c r="B480" s="1" t="str">
        <f ca="1">IFERROR(__xludf.DUMFUNCTION("GOOGLETRANSLATE(A512,""id"",""en"")"),"Whatsapp Instagram Account Hack Services Facebook Twitter Gmail Sangebanget Haribhayangketh  Owners of Sleeping Zonajajan Zonauang Zonaba Ademkilicci Aflliionsdogs Hamzashehbaz Petronasmalalayaopen Imranriazkhan")</f>
        <v>Whatsapp Instagram Account Hack Services Facebook Twitter Gmail Sangebanget Haribhayangketh  Owners of Sleeping Zonajajan Zonauang Zonaba Ademkilicci Aflliionsdogs Hamzashehbaz Petronasmalalayaopen Imranriazkhan</v>
      </c>
    </row>
    <row r="481" spans="1:2" x14ac:dyDescent="0.2">
      <c r="A481" s="1" t="s">
        <v>2771</v>
      </c>
      <c r="B481" s="1" t="str">
        <f ca="1">IFERROR(__xludf.DUMFUNCTION("GOOGLETRANSLATE(A513,""id"",""en"")"),"wkkwkwk down  otp dah autofill from the wrong message")</f>
        <v>wkkwkwk down  otp dah autofill from the wrong message</v>
      </c>
    </row>
    <row r="482" spans="1:2" x14ac:dyDescent="0.2">
      <c r="A482" s="1" t="s">
        <v>2772</v>
      </c>
      <c r="B482" s="1" t="str">
        <f ca="1">IFERROR(__xludf.DUMFUNCTION("GOOGLETRANSLATE(A514,""id"",""en"")"),"what about  vertamina app.")</f>
        <v>what about  vertamina app.</v>
      </c>
    </row>
    <row r="483" spans="1:2" x14ac:dyDescent="0.2">
      <c r="A483" s="1" t="s">
        <v>2773</v>
      </c>
      <c r="B483" s="1" t="str">
        <f ca="1">IFERROR(__xludf.DUMFUNCTION("GOOGLETRANSLATE(A517,""id"",""en"")"),"Reveal the base of the limit of buying fuel subsidies  sindonews option")</f>
        <v>Reveal the base of the limit of buying fuel subsidies  sindonews option</v>
      </c>
    </row>
    <row r="484" spans="1:2" x14ac:dyDescent="0.2">
      <c r="A484" s="1" t="s">
        <v>2774</v>
      </c>
      <c r="B484" s="1" t="str">
        <f ca="1">IFERROR(__xludf.DUMFUNCTION("GOOGLETRANSLATE(A518,""id"",""en"")"),"JULI BRARTI KUDU Download  Ne Ben Iso Buy Pertalite Solar Goceng")</f>
        <v>JULI BRARTI KUDU Download  Ne Ben Iso Buy Pertalite Solar Goceng</v>
      </c>
    </row>
    <row r="485" spans="1:2" x14ac:dyDescent="0.2">
      <c r="A485" s="1" t="s">
        <v>2775</v>
      </c>
      <c r="B485" s="1" t="str">
        <f ca="1">IFERROR(__xludf.DUMFUNCTION("GOOGLETRANSLATE(A519,""id"",""en"")")," is difficult")</f>
        <v xml:space="preserve"> is difficult</v>
      </c>
    </row>
    <row r="486" spans="1:2" x14ac:dyDescent="0.2">
      <c r="A486" s="1" t="s">
        <v>2776</v>
      </c>
      <c r="B486" s="1" t="str">
        <f ca="1">IFERROR(__xludf.DUMFUNCTION("GOOGLETRANSLATE(A520,""id"",""en"")")," Business Secretary Patra Niaga Irto Ginting The Terms of Buying LPG Kg Kg Kg Society  Application")</f>
        <v xml:space="preserve"> Business Secretary Patra Niaga Irto Ginting The Terms of Buying LPG Kg Kg Kg Society  Application</v>
      </c>
    </row>
    <row r="487" spans="1:2" x14ac:dyDescent="0.2">
      <c r="A487" s="1" t="s">
        <v>2777</v>
      </c>
      <c r="B487" s="1" t="str">
        <f ca="1">IFERROR(__xludf.DUMFUNCTION("GOOGLETRANSLATE(A521,""id"",""en"")"),"Zelenky news is lacking fuel installing  application")</f>
        <v>Zelenky news is lacking fuel installing  application</v>
      </c>
    </row>
    <row r="488" spans="1:2" x14ac:dyDescent="0.2">
      <c r="A488" s="1" t="s">
        <v>2778</v>
      </c>
      <c r="B488" s="1" t="str">
        <f ca="1">IFERROR(__xludf.DUMFUNCTION("GOOGLETRANSLATE(A522,""id"",""en"")")," Morning Application makes OTP emotions already entered eh telling mastery numbers according to pan eta ges asup")</f>
        <v xml:space="preserve"> Morning Application makes OTP emotions already entered eh telling mastery numbers according to pan eta ges asup</v>
      </c>
    </row>
    <row r="489" spans="1:2" x14ac:dyDescent="0.2">
      <c r="A489" s="1" t="s">
        <v>2779</v>
      </c>
      <c r="B489" s="1" t="str">
        <f ca="1">IFERROR(__xludf.DUMFUNCTION("GOOGLETRANSLATE(A523,""id"",""en"")"),"buy pertalite using  proof of the country to be difficult for the people")</f>
        <v>buy pertalite using  proof of the country to be difficult for the people</v>
      </c>
    </row>
    <row r="490" spans="1:2" x14ac:dyDescent="0.2">
      <c r="A490" s="1" t="s">
        <v>2780</v>
      </c>
      <c r="B490" s="1" t="str">
        <f ca="1">IFERROR(__xludf.DUMFUNCTION("GOOGLETRANSLATE(A524,""id"",""en"")"),"Just give a star the  Playstore End application")</f>
        <v>Just give a star the  Playstore End application</v>
      </c>
    </row>
    <row r="491" spans="1:2" x14ac:dyDescent="0.2">
      <c r="A491" s="1" t="s">
        <v>2781</v>
      </c>
      <c r="B491" s="1" t="str">
        <f ca="1">IFERROR(__xludf.DUMFUNCTION("GOOGLETRANSLATE(A525,""id"",""en"")"),"List of  looping verification otp send via sms but when verification app says definitely the number that is entered blablabla")</f>
        <v>List of  looping verification otp send via sms but when verification app says definitely the number that is entered blablabla</v>
      </c>
    </row>
    <row r="492" spans="1:2" x14ac:dyDescent="0.2">
      <c r="A492" s="1" t="s">
        <v>2782</v>
      </c>
      <c r="B492" s="1" t="str">
        <f ca="1">IFERROR(__xludf.DUMFUNCTION("GOOGLETRANSLATE(A526,""id"",""en"")"),"wkwkw bgt ")</f>
        <v xml:space="preserve">wkwkw bgt </v>
      </c>
    </row>
    <row r="493" spans="1:2" x14ac:dyDescent="0.2">
      <c r="A493" s="1" t="s">
        <v>2783</v>
      </c>
      <c r="B493" s="1" t="str">
        <f ca="1">IFERROR(__xludf.DUMFUNCTION("GOOGLETRANSLATE(A527,""id"",""en"")"),"List of  Website Subsiditaspas ")</f>
        <v xml:space="preserve">List of  Website Subsiditaspas </v>
      </c>
    </row>
    <row r="494" spans="1:2" x14ac:dyDescent="0.2">
      <c r="A494" s="1" t="s">
        <v>2784</v>
      </c>
      <c r="B494" s="1" t="str">
        <f ca="1">IFERROR(__xludf.DUMFUNCTION("GOOGLETRANSLATE(A528,""id"",""en"")"),"mandatory list of buying pertalite  application flood bad review Google Play Store")</f>
        <v>mandatory list of buying pertalite  application flood bad review Google Play Store</v>
      </c>
    </row>
    <row r="495" spans="1:2" x14ac:dyDescent="0.2">
      <c r="A495" s="1" t="s">
        <v>2785</v>
      </c>
      <c r="B495" s="1" t="str">
        <f ca="1">IFERROR(__xludf.DUMFUNCTION("GOOGLETRANSLATE(A529,""id"",""en"")"),"what is  the OTP number is correct but still failed")</f>
        <v>what is  the OTP number is correct but still failed</v>
      </c>
    </row>
    <row r="496" spans="1:2" x14ac:dyDescent="0.2">
      <c r="A496" s="1" t="s">
        <v>2786</v>
      </c>
      <c r="B496" s="1" t="str">
        <f ca="1">IFERROR(__xludf.DUMFUNCTION("GOOGLETRANSLATE(A530,""id"",""en"")"),"Link  Just Kopat Kapet People")</f>
        <v>Link  Just Kopat Kapet People</v>
      </c>
    </row>
    <row r="497" spans="1:2" x14ac:dyDescent="0.2">
      <c r="A497" s="1" t="s">
        <v>2787</v>
      </c>
      <c r="B497" s="1" t="str">
        <f ca="1">IFERROR(__xludf.DUMFUNCTION("GOOGLETRANSLATE(A531,""id"",""en"")"),"misqueen shouted pretentious rich using the  application confused")</f>
        <v>misqueen shouted pretentious rich using the  application confused</v>
      </c>
    </row>
    <row r="498" spans="1:2" x14ac:dyDescent="0.2">
      <c r="A498" s="1" t="s">
        <v>2788</v>
      </c>
      <c r="B498" s="1" t="str">
        <f ca="1">IFERROR(__xludf.DUMFUNCTION("GOOGLETRANSLATE(A532,""id"",""en"")")," Hajar application diarrhea rating netizens plummeted")</f>
        <v xml:space="preserve"> Hajar application diarrhea rating netizens plummeted</v>
      </c>
    </row>
    <row r="499" spans="1:2" x14ac:dyDescent="0.2">
      <c r="A499" s="1" t="s">
        <v>32</v>
      </c>
      <c r="B499" s="1" t="str">
        <f ca="1">IFERROR(__xludf.DUMFUNCTION("GOOGLETRANSLATE(A533,""id"",""en"")"),"like the list of fuel uses subsidies open July, please July")</f>
        <v>like the list of fuel uses subsidies open July, please July</v>
      </c>
    </row>
    <row r="500" spans="1:2" x14ac:dyDescent="0.2">
      <c r="A500" s="1" t="s">
        <v>2789</v>
      </c>
      <c r="B500" s="1" t="str">
        <f ca="1">IFERROR(__xludf.DUMFUNCTION("GOOGLETRANSLATE(A534,""id"",""en"")"),"just now the list of  when I entered the error verification code, heyy, I filled the gasoline in the morning")</f>
        <v>just now the list of  when I entered the error verification code, heyy, I filled the gasoline in the morning</v>
      </c>
    </row>
    <row r="501" spans="1:2" x14ac:dyDescent="0.2">
      <c r="A501" s="1" t="s">
        <v>12</v>
      </c>
      <c r="B501" s="1" t="str">
        <f ca="1">IFERROR(__xludf.DUMFUNCTION("GOOGLETRANSLATE(A535,""id"",""en"")"),"Lhoh")</f>
        <v>Lhoh</v>
      </c>
    </row>
    <row r="502" spans="1:2" x14ac:dyDescent="0.2">
      <c r="A502" s="1" t="s">
        <v>2790</v>
      </c>
      <c r="B502" s="1" t="str">
        <f ca="1">IFERROR(__xludf.DUMFUNCTION("GOOGLETRANSLATE(A536,""id"",""en"")"),"say no to  the people are difficult to be difficult")</f>
        <v>say no to  the people are difficult to be difficult</v>
      </c>
    </row>
    <row r="503" spans="1:2" x14ac:dyDescent="0.2">
      <c r="A503" s="1" t="s">
        <v>2791</v>
      </c>
      <c r="B503" s="1" t="str">
        <f ca="1">IFERROR(__xludf.DUMFUNCTION("GOOGLETRANSLATE(A537,""id"",""en"")"),"For Motorcycle List  Buy Real Pertalite Minister of Trade Zulhas Price Tbs Sawit Popular News")</f>
        <v>For Motorcycle List  Buy Real Pertalite Minister of Trade Zulhas Price Tbs Sawit Popular News</v>
      </c>
    </row>
    <row r="504" spans="1:2" x14ac:dyDescent="0.2">
      <c r="A504" s="1" t="s">
        <v>2792</v>
      </c>
      <c r="B504" s="1" t="str">
        <f ca="1">IFERROR(__xludf.DUMFUNCTION("GOOGLETRANSLATE(A538,""id"",""en"")"),"enter using  or not")</f>
        <v>enter using  or not</v>
      </c>
    </row>
    <row r="505" spans="1:2" x14ac:dyDescent="0.2">
      <c r="A505" s="1" t="s">
        <v>33</v>
      </c>
      <c r="B505" s="1" t="str">
        <f ca="1">IFERROR(__xludf.DUMFUNCTION("GOOGLETRANSLATE(A539,""id"",""en"")"),"Moving Shell is expensive, don't use the RKUHP KEGGANGKANGKAM application")</f>
        <v>Moving Shell is expensive, don't use the RKUHP KEGGANGKANGKAM application</v>
      </c>
    </row>
    <row r="506" spans="1:2" x14ac:dyDescent="0.2">
      <c r="A506" s="1" t="s">
        <v>2793</v>
      </c>
      <c r="B506" s="1" t="str">
        <f ca="1">IFERROR(__xludf.DUMFUNCTION("GOOGLETRANSLATE(A540,""id"",""en"")"),"Pa Jokowi, please cancel wisely to buy  fuel to bother the community")</f>
        <v>Pa Jokowi, please cancel wisely to buy  fuel to bother the community</v>
      </c>
    </row>
    <row r="507" spans="1:2" x14ac:dyDescent="0.2">
      <c r="A507" s="1" t="s">
        <v>2794</v>
      </c>
      <c r="B507" s="1" t="str">
        <f ca="1">IFERROR(__xludf.DUMFUNCTION("GOOGLETRANSLATE(A541,""id"",""en"")"),"Mandatory Application for Car Support Transactions Good Wise Good Management SPBU SPBU AGARA ERROR WIFI FREE SPECIAL ")</f>
        <v xml:space="preserve">Mandatory Application for Car Support Transactions Good Wise Good Management SPBU SPBU AGARA ERROR WIFI FREE SPECIAL </v>
      </c>
    </row>
    <row r="508" spans="1:2" x14ac:dyDescent="0.2">
      <c r="A508" s="1" t="s">
        <v>2670</v>
      </c>
      <c r="B508" s="1" t="str">
        <f ca="1">IFERROR(__xludf.DUMFUNCTION("GOOGLETRANSLATE(A542,""id"",""en"")"),"Terpiep Buy Pertalite using  Motor Tempootomotive Laku")</f>
        <v>Terpiep Buy Pertalite using  Motor Tempootomotive Laku</v>
      </c>
    </row>
    <row r="509" spans="1:2" x14ac:dyDescent="0.2">
      <c r="A509" s="1" t="s">
        <v>2795</v>
      </c>
      <c r="B509" s="1" t="str">
        <f ca="1">IFERROR(__xludf.DUMFUNCTION("GOOGLETRANSLATE(A543,""id"",""en"")"),"conditions for buying using the  application acts of public discrimination for pertalite")</f>
        <v>conditions for buying using the  application acts of public discrimination for pertalite</v>
      </c>
    </row>
    <row r="510" spans="1:2" x14ac:dyDescent="0.2">
      <c r="A510" s="1" t="s">
        <v>34</v>
      </c>
      <c r="B510" s="1" t="str">
        <f ca="1">IFERROR(__xludf.DUMFUNCTION("GOOGLETRANSLATE(A544,""id"",""en"")"),"Member of the House of Representatives Commission VII Paramitha Widya Kusuma said the people")</f>
        <v>Member of the House of Representatives Commission VII Paramitha Widya Kusuma said the people</v>
      </c>
    </row>
    <row r="511" spans="1:2" x14ac:dyDescent="0.2">
      <c r="A511" s="1" t="s">
        <v>2796</v>
      </c>
      <c r="B511" s="1" t="str">
        <f ca="1">IFERROR(__xludf.DUMFUNCTION("GOOGLETRANSLATE(A545,""id"",""en"")"),"gas station is going to play cellphone wkwkwk tomorrow forbid gt gt gabow playing mobile except open ")</f>
        <v xml:space="preserve">gas station is going to play cellphone wkwkwk tomorrow forbid gt gt gabow playing mobile except open </v>
      </c>
    </row>
    <row r="512" spans="1:2" x14ac:dyDescent="0.2">
      <c r="A512" s="1" t="s">
        <v>2797</v>
      </c>
      <c r="B512" s="1" t="str">
        <f ca="1">IFERROR(__xludf.DUMFUNCTION("GOOGLETRANSLATE(A546,""id"",""en"")"),"some times try to fill the gasoline using  error mulu pom")</f>
        <v>some times try to fill the gasoline using  error mulu pom</v>
      </c>
    </row>
    <row r="513" spans="1:2" x14ac:dyDescent="0.2">
      <c r="A513" s="1" t="s">
        <v>33</v>
      </c>
      <c r="B513" s="1" t="str">
        <f ca="1">IFERROR(__xludf.DUMFUNCTION("GOOGLETRANSLATE(A547,""id"",""en"")"),"Moving Shell is expensive, don't use the RKUHP KEGGANGKANGKAM application")</f>
        <v>Moving Shell is expensive, don't use the RKUHP KEGGANGKANGKAM application</v>
      </c>
    </row>
    <row r="514" spans="1:2" x14ac:dyDescent="0.2">
      <c r="A514" s="1" t="s">
        <v>2798</v>
      </c>
      <c r="B514" s="1" t="str">
        <f ca="1">IFERROR(__xludf.DUMFUNCTION("GOOGLETRANSLATE(A548,""id"",""en"")"),"Motorcycle List  Website Tutur Brasto Galih Nugroho Area")</f>
        <v>Motorcycle List  Website Tutur Brasto Galih Nugroho Area</v>
      </c>
    </row>
    <row r="515" spans="1:2" x14ac:dyDescent="0.2">
      <c r="A515" s="1" t="s">
        <v>2799</v>
      </c>
      <c r="B515" s="1" t="str">
        <f ca="1">IFERROR(__xludf.DUMFUNCTION("GOOGLETRANSLATE(A549,""id"",""en"")"),"Pertalite Solar command plan to buy LPG Kg Kg  La Application")</f>
        <v>Pertalite Solar command plan to buy LPG Kg Kg  La Application</v>
      </c>
    </row>
    <row r="516" spans="1:2" x14ac:dyDescent="0.2">
      <c r="A516" s="1" t="s">
        <v>2800</v>
      </c>
      <c r="B516" s="1" t="str">
        <f ca="1">IFERROR(__xludf.DUMFUNCTION("GOOGLETRANSLATE(A550,""id"",""en"")")," Cekidot")</f>
        <v xml:space="preserve"> Cekidot</v>
      </c>
    </row>
    <row r="517" spans="1:2" x14ac:dyDescent="0.2">
      <c r="A517" s="1" t="s">
        <v>2801</v>
      </c>
      <c r="B517" s="1" t="str">
        <f ca="1">IFERROR(__xludf.DUMFUNCTION("GOOGLETRANSLATE(A551,""id"",""en"")"),"well, I got in mentally, it's normal if you use the  command application")</f>
        <v>well, I got in mentally, it's normal if you use the  command application</v>
      </c>
    </row>
    <row r="518" spans="1:2" x14ac:dyDescent="0.2">
      <c r="A518" s="1" t="s">
        <v>2802</v>
      </c>
      <c r="B518" s="1" t="str">
        <f ca="1">IFERROR(__xludf.DUMFUNCTION("GOOGLETRANSLATE(A552,""id"",""en"")")," July Application Cooperation Cooperation")</f>
        <v xml:space="preserve"> July Application Cooperation Cooperation</v>
      </c>
    </row>
    <row r="519" spans="1:2" x14ac:dyDescent="0.2">
      <c r="A519" s="1" t="s">
        <v>2666</v>
      </c>
      <c r="B519" s="1" t="str">
        <f ca="1">IFERROR(__xludf.DUMFUNCTION("GOOGLETRANSLATE(A553,""id"",""en"")")," wisely buy pertalite using  the boundaries")</f>
        <v xml:space="preserve"> wisely buy pertalite using  the boundaries</v>
      </c>
    </row>
    <row r="520" spans="1:2" x14ac:dyDescent="0.2">
      <c r="A520" s="1" t="s">
        <v>2803</v>
      </c>
      <c r="B520" s="1" t="str">
        <f ca="1">IFERROR(__xludf.DUMFUNCTION("GOOGLETRANSLATE(A554,""id"",""en"")"),"orders call the system buying solar solar application  application dated July the limit of buying cooperation")</f>
        <v>orders call the system buying solar solar application  application dated July the limit of buying cooperation</v>
      </c>
    </row>
    <row r="521" spans="1:2" x14ac:dyDescent="0.2">
      <c r="A521" s="1" t="s">
        <v>2804</v>
      </c>
      <c r="B521" s="1" t="str">
        <f ca="1">IFERROR(__xludf.DUMFUNCTION("GOOGLETRANSLATE(A555,""id"",""en"")"),"JULY SYSTEM BUY PERTALITE SOLAR  APPLICATION COOPERATION COOPERATION")</f>
        <v>JULY SYSTEM BUY PERTALITE SOLAR  APPLICATION COOPERATION COOPERATION</v>
      </c>
    </row>
    <row r="522" spans="1:2" x14ac:dyDescent="0.2">
      <c r="A522" s="1" t="s">
        <v>2666</v>
      </c>
      <c r="B522" s="1" t="str">
        <f ca="1">IFERROR(__xludf.DUMFUNCTION("GOOGLETRANSLATE(A556,""id"",""en"")")," wisely buy pertalite using  the boundaries")</f>
        <v xml:space="preserve"> wisely buy pertalite using  the boundaries</v>
      </c>
    </row>
    <row r="523" spans="1:2" x14ac:dyDescent="0.2">
      <c r="A523" s="1" t="s">
        <v>2805</v>
      </c>
      <c r="B523" s="1" t="str">
        <f ca="1">IFERROR(__xludf.DUMFUNCTION("GOOGLETRANSLATE(A557,""id"",""en"")")," calls wisely to buy pertalite using ")</f>
        <v xml:space="preserve"> calls wisely to buy pertalite using </v>
      </c>
    </row>
    <row r="524" spans="1:2" x14ac:dyDescent="0.2">
      <c r="A524" s="1" t="s">
        <v>2666</v>
      </c>
      <c r="B524" s="1" t="str">
        <f ca="1">IFERROR(__xludf.DUMFUNCTION("GOOGLETRANSLATE(A558,""id"",""en"")")," wisely buy pertalite using  the boundaries")</f>
        <v xml:space="preserve"> wisely buy pertalite using  the boundaries</v>
      </c>
    </row>
    <row r="525" spans="1:2" x14ac:dyDescent="0.2">
      <c r="A525" s="1" t="s">
        <v>2806</v>
      </c>
      <c r="B525" s="1" t="str">
        <f ca="1">IFERROR(__xludf.DUMFUNCTION("GOOGLETRANSLATE(A559,""id"",""en"")"),"the order of buying system is also a solar solar application  application which is in July")</f>
        <v>the order of buying system is also a solar solar application  application which is in July</v>
      </c>
    </row>
    <row r="526" spans="1:2" x14ac:dyDescent="0.2">
      <c r="A526" s="1" t="s">
        <v>2807</v>
      </c>
      <c r="B526" s="1" t="str">
        <f ca="1">IFERROR(__xludf.DUMFUNCTION("GOOGLETRANSLATE(A560,""id"",""en"")")," Info Policy Using  Limits Yes Gaes Cooperation Building")</f>
        <v xml:space="preserve"> Info Policy Using  Limits Yes Gaes Cooperation Building</v>
      </c>
    </row>
    <row r="527" spans="1:2" x14ac:dyDescent="0.2">
      <c r="A527" s="1" t="s">
        <v>2666</v>
      </c>
      <c r="B527" s="1" t="str">
        <f ca="1">IFERROR(__xludf.DUMFUNCTION("GOOGLETRANSLATE(A561,""id"",""en"")")," wisely buy pertalite using  the boundaries")</f>
        <v xml:space="preserve"> wisely buy pertalite using  the boundaries</v>
      </c>
    </row>
    <row r="528" spans="1:2" x14ac:dyDescent="0.2">
      <c r="A528" s="1" t="s">
        <v>2808</v>
      </c>
      <c r="B528" s="1" t="str">
        <f ca="1">IFERROR(__xludf.DUMFUNCTION("GOOGLETRANSLATE(A562,""id"",""en"")"),"yes gaes system buying solar solar applications  is sold in July the limit of buying is the cooperation")</f>
        <v>yes gaes system buying solar solar applications  is sold in July the limit of buying is the cooperation</v>
      </c>
    </row>
    <row r="529" spans="1:2" x14ac:dyDescent="0.2">
      <c r="A529" s="1" t="s">
        <v>2666</v>
      </c>
      <c r="B529" s="1" t="str">
        <f ca="1">IFERROR(__xludf.DUMFUNCTION("GOOGLETRANSLATE(A563,""id"",""en"")")," wisely buy pertalite using  the boundaries")</f>
        <v xml:space="preserve"> wisely buy pertalite using  the boundaries</v>
      </c>
    </row>
    <row r="530" spans="1:2" x14ac:dyDescent="0.2">
      <c r="A530" s="1" t="s">
        <v>2809</v>
      </c>
      <c r="B530" s="1" t="str">
        <f ca="1">IFERROR(__xludf.DUMFUNCTION("GOOGLETRANSLATE(A564,""id"",""en"")"),"orders to call the system buying solar solar applications  July limit for buying cooperation to build")</f>
        <v>orders to call the system buying solar solar applications  July limit for buying cooperation to build</v>
      </c>
    </row>
    <row r="531" spans="1:2" x14ac:dyDescent="0.2">
      <c r="A531" s="1" t="s">
        <v>2810</v>
      </c>
      <c r="B531" s="1" t="str">
        <f ca="1">IFERROR(__xludf.DUMFUNCTION("GOOGLETRANSLATE(A565,""id"",""en"")"),"Buy subsidized fuel using  utu specifically for the wheels of KNP using a queue motorbike from yesterday the community is minimal literacy forgot to read a book")</f>
        <v>Buy subsidized fuel using  utu specifically for the wheels of KNP using a queue motorbike from yesterday the community is minimal literacy forgot to read a book</v>
      </c>
    </row>
    <row r="532" spans="1:2" x14ac:dyDescent="0.2">
      <c r="A532" s="1" t="s">
        <v>2811</v>
      </c>
      <c r="B532" s="1" t="str">
        <f ca="1">IFERROR(__xludf.DUMFUNCTION("GOOGLETRANSLATE(A566,""id"",""en"")"),"JULY BUY GETTINGS PKAI ")</f>
        <v xml:space="preserve">JULY BUY GETTINGS PKAI </v>
      </c>
    </row>
    <row r="533" spans="1:2" x14ac:dyDescent="0.2">
      <c r="A533" s="1" t="s">
        <v>2812</v>
      </c>
      <c r="B533" s="1" t="str">
        <f ca="1">IFERROR(__xludf.DUMFUNCTION("GOOGLETRANSLATE(A567,""id"",""en"")"),"Buy Pertalite amp Solar Using  Buy a gas cylinder Kg Amp Migor Bulk using a protected carrier eh MILU NATION NATION BOOD BOOD BOOKS USE PEPUP PEPUP")</f>
        <v>Buy Pertalite amp Solar Using  Buy a gas cylinder Kg Amp Migor Bulk using a protected carrier eh MILU NATION NATION BOOD BOOD BOOKS USE PEPUP PEPUP</v>
      </c>
    </row>
    <row r="534" spans="1:2" x14ac:dyDescent="0.2">
      <c r="A534" s="1" t="s">
        <v>2813</v>
      </c>
      <c r="B534" s="1" t="str">
        <f ca="1">IFERROR(__xludf.DUMFUNCTION("GOOGLETRANSLATE(A568,""id"",""en"")")," Pajero Fortuner Phanter TRAKTOR TRACTOR TRAKS HARD PERTALITE")</f>
        <v xml:space="preserve"> Pajero Fortuner Phanter TRAKTOR TRACTOR TRAKS HARD PERTALITE</v>
      </c>
    </row>
    <row r="535" spans="1:2" x14ac:dyDescent="0.2">
      <c r="A535" s="1" t="s">
        <v>2814</v>
      </c>
      <c r="B535" s="1" t="str">
        <f ca="1">IFERROR(__xludf.DUMFUNCTION("GOOGLETRANSLATE(A569,""id"",""en"")")," Business Secretary Patra Niaga IRTO Ginting The Terms of Buying LPG LPG SUBSIDI Community  Platform")</f>
        <v xml:space="preserve"> Business Secretary Patra Niaga IRTO Ginting The Terms of Buying LPG LPG SUBSIDI Community  Platform</v>
      </c>
    </row>
    <row r="536" spans="1:2" x14ac:dyDescent="0.2">
      <c r="A536" s="1" t="s">
        <v>2815</v>
      </c>
      <c r="B536" s="1" t="str">
        <f ca="1">IFERROR(__xludf.DUMFUNCTION("GOOGLETRANSLATE(A570,""id"",""en"")"),"list of fuel subsidies for  websites specifically for wheels sindo news options")</f>
        <v>list of fuel subsidies for  websites specifically for wheels sindo news options</v>
      </c>
    </row>
    <row r="537" spans="1:2" x14ac:dyDescent="0.2">
      <c r="A537" s="1" t="s">
        <v>2816</v>
      </c>
      <c r="B537" s="1" t="str">
        <f ca="1">IFERROR(__xludf.DUMFUNCTION("GOOGLETRANSLATE(A571,""id"",""en"")"),"Fill in the data eh gin ")</f>
        <v xml:space="preserve">Fill in the data eh gin </v>
      </c>
    </row>
    <row r="538" spans="1:2" x14ac:dyDescent="0.2">
      <c r="A538" s="1" t="s">
        <v>2817</v>
      </c>
      <c r="B538" s="1" t="str">
        <f ca="1">IFERROR(__xludf.DUMFUNCTION("GOOGLETRANSLATE(A572,""id"",""en"")")," Visualization Using  Motor Only Stupid Wheel Animator Iki")</f>
        <v xml:space="preserve"> Visualization Using  Motor Only Stupid Wheel Animator Iki</v>
      </c>
    </row>
    <row r="539" spans="1:2" x14ac:dyDescent="0.2">
      <c r="A539" s="1" t="s">
        <v>2818</v>
      </c>
      <c r="B539" s="1" t="str">
        <f ca="1">IFERROR(__xludf.DUMFUNCTION("GOOGLETRANSLATE(A573,""id"",""en"")"),"Remember July must buy Pertalite using the  Application Kendara Roda Poor who minimal literacy is not a lot of poor stupid bacot")</f>
        <v>Remember July must buy Pertalite using the  Application Kendara Roda Poor who minimal literacy is not a lot of poor stupid bacot</v>
      </c>
    </row>
    <row r="540" spans="1:2" x14ac:dyDescent="0.2">
      <c r="A540" s="1" t="s">
        <v>2819</v>
      </c>
      <c r="B540" s="1" t="str">
        <f ca="1">IFERROR(__xludf.DUMFUNCTION("GOOGLETRANSLATE(A574,""id"",""en"")"),"Bacot filling in using  login to be told to first")</f>
        <v>Bacot filling in using  login to be told to first</v>
      </c>
    </row>
    <row r="541" spans="1:2" x14ac:dyDescent="0.2">
      <c r="A541" s="1" t="s">
        <v>2820</v>
      </c>
      <c r="B541" s="1" t="str">
        <f ca="1">IFERROR(__xludf.DUMFUNCTION("GOOGLETRANSLATE(A575,""id"",""en"")"),"July  Open a List of Buying Pertalite ")</f>
        <v xml:space="preserve">July  Open a List of Buying Pertalite </v>
      </c>
    </row>
    <row r="542" spans="1:2" x14ac:dyDescent="0.2">
      <c r="A542" s="1" t="s">
        <v>2821</v>
      </c>
      <c r="B542" s="1" t="str">
        <f ca="1">IFERROR(__xludf.DUMFUNCTION("GOOGLETRANSLATE(A576,""id"",""en"")"),"Aamiin for Pertalite Solar forgot the list of  subsidies")</f>
        <v>Aamiin for Pertalite Solar forgot the list of  subsidies</v>
      </c>
    </row>
    <row r="543" spans="1:2" x14ac:dyDescent="0.2">
      <c r="A543" s="1" t="s">
        <v>2822</v>
      </c>
      <c r="B543" s="1" t="str">
        <f ca="1">IFERROR(__xludf.DUMFUNCTION("GOOGLETRANSLATE(A577,""id"",""en"")"),"Teu Kedah Nganggo The  Application")</f>
        <v>Teu Kedah Nganggo The  Application</v>
      </c>
    </row>
    <row r="544" spans="1:2" x14ac:dyDescent="0.2">
      <c r="A544" s="1" t="s">
        <v>2823</v>
      </c>
      <c r="B544" s="1" t="str">
        <f ca="1">IFERROR(__xludf.DUMFUNCTION("GOOGLETRANSLATE(A578,""id"",""en"")"),"Geger Application  The rating of netizens is a netizen netizen application  unfaedah above")</f>
        <v>Geger Application  The rating of netizens is a netizen netizen application  unfaedah above</v>
      </c>
    </row>
    <row r="545" spans="1:2" x14ac:dyDescent="0.2">
      <c r="A545" s="1" t="s">
        <v>2824</v>
      </c>
      <c r="B545" s="1" t="str">
        <f ca="1">IFERROR(__xludf.DUMFUNCTION("GOOGLETRANSLATE(A579,""id"",""en"")"),"Buy Pertalite List of  Very people buy Pertamax Rakyat Rakyakyat People Match the People of the People Macing the People")</f>
        <v>Buy Pertalite List of  Very people buy Pertamax Rakyat Rakyakyat People Match the People of the People Macing the People</v>
      </c>
    </row>
    <row r="546" spans="1:2" x14ac:dyDescent="0.2">
      <c r="A546" s="1" t="s">
        <v>2825</v>
      </c>
      <c r="B546" s="1" t="str">
        <f ca="1">IFERROR(__xludf.DUMFUNCTION("GOOGLETRANSLATE(A580,""id"",""en"")"),"Look for valid information, don't make a hook  argument, it's good")</f>
        <v>Look for valid information, don't make a hook  argument, it's good</v>
      </c>
    </row>
    <row r="547" spans="1:2" x14ac:dyDescent="0.2">
      <c r="A547" s="1" t="s">
        <v>2826</v>
      </c>
      <c r="B547" s="1" t="str">
        <f ca="1">IFERROR(__xludf.DUMFUNCTION("GOOGLETRANSLATE(A581,""id"",""en"")"),"RKUHP a little bit legitimate is really closed with  President Ukraine Vice President to talk about marijuana")</f>
        <v>RKUHP a little bit legitimate is really closed with  President Ukraine Vice President to talk about marijuana</v>
      </c>
    </row>
    <row r="548" spans="1:2" x14ac:dyDescent="0.2">
      <c r="A548" s="1" t="s">
        <v>2827</v>
      </c>
      <c r="B548" s="1" t="str">
        <f ca="1">IFERROR(__xludf.DUMFUNCTION("GOOGLETRANSLATE(A582,""id"",""en"")"),"Please slightly disguise anxiously, please act to put the owner of ")</f>
        <v xml:space="preserve">Please slightly disguise anxiously, please act to put the owner of </v>
      </c>
    </row>
    <row r="549" spans="1:2" x14ac:dyDescent="0.2">
      <c r="A549" s="1" t="s">
        <v>2828</v>
      </c>
      <c r="B549" s="1" t="str">
        <f ca="1">IFERROR(__xludf.DUMFUNCTION("GOOGLETRANSLATE(A583,""id"",""en"")"),"Try how to use the hp gas station ")</f>
        <v xml:space="preserve">Try how to use the hp gas station </v>
      </c>
    </row>
    <row r="550" spans="1:2" x14ac:dyDescent="0.2">
      <c r="A550" s="1" t="s">
        <v>2829</v>
      </c>
      <c r="B550" s="1" t="str">
        <f ca="1">IFERROR(__xludf.DUMFUNCTION("GOOGLETRANSLATE(A584,""id"",""en"")"),"Duhhhh Gasabar Fill in GTA GTA using ")</f>
        <v xml:space="preserve">Duhhhh Gasabar Fill in GTA GTA using </v>
      </c>
    </row>
    <row r="551" spans="1:2" x14ac:dyDescent="0.2">
      <c r="A551" s="1" t="s">
        <v>2830</v>
      </c>
      <c r="B551" s="1" t="str">
        <f ca="1">IFERROR(__xludf.DUMFUNCTION("GOOGLETRANSLATE(A585,""id"",""en"")"),"Good news to buy pertalite using  buy pertalite using rupiah")</f>
        <v>Good news to buy pertalite using  buy pertalite using rupiah</v>
      </c>
    </row>
    <row r="552" spans="1:2" x14ac:dyDescent="0.2">
      <c r="A552" s="1" t="s">
        <v>2831</v>
      </c>
      <c r="B552" s="1" t="str">
        <f ca="1">IFERROR(__xludf.DUMFUNCTION("GOOGLETRANSLATE(A586,""id"",""en"")"),"oh yeah yesterday afternoon the migrant worker roundabout was full of full direction for the gas station because of  yes who had tried to buy using ")</f>
        <v xml:space="preserve">oh yeah yesterday afternoon the migrant worker roundabout was full of full direction for the gas station because of  yes who had tried to buy using </v>
      </c>
    </row>
    <row r="553" spans="1:2" x14ac:dyDescent="0.2">
      <c r="A553" s="1" t="s">
        <v>2832</v>
      </c>
      <c r="B553" s="1" t="str">
        <f ca="1">IFERROR(__xludf.DUMFUNCTION("GOOGLETRANSLATE(A587,""id"",""en"")"),"Tell the deposit top up the link with the cost of adm Rp top up to buy fuel that subsidized times can get an adm fee transaction that is top up just by the developer ")</f>
        <v xml:space="preserve">Tell the deposit top up the link with the cost of adm Rp top up to buy fuel that subsidized times can get an adm fee transaction that is top up just by the developer </v>
      </c>
    </row>
    <row r="554" spans="1:2" x14ac:dyDescent="0.2">
      <c r="A554" s="1" t="s">
        <v>2833</v>
      </c>
      <c r="B554" s="1" t="str">
        <f ca="1">IFERROR(__xludf.DUMFUNCTION("GOOGLETRANSLATE(A588,""id"",""en"")"),"Splashy, don't look for the facts of  on July, try looking for wae")</f>
        <v>Splashy, don't look for the facts of  on July, try looking for wae</v>
      </c>
    </row>
    <row r="555" spans="1:2" x14ac:dyDescent="0.2">
      <c r="A555" s="1" t="s">
        <v>2834</v>
      </c>
      <c r="B555" s="1" t="str">
        <f ca="1">IFERROR(__xludf.DUMFUNCTION("GOOGLETRANSLATE(A589,""id"",""en"")"),"List of  Buy Pertalite Only owned by Kendara Roda Roda Roda Roda Roda yesterday")</f>
        <v>List of  Buy Pertalite Only owned by Kendara Roda Roda Roda Roda Roda yesterday</v>
      </c>
    </row>
    <row r="556" spans="1:2" x14ac:dyDescent="0.2">
      <c r="A556" s="1" t="s">
        <v>2835</v>
      </c>
      <c r="B556" s="1" t="str">
        <f ca="1">IFERROR(__xludf.DUMFUNCTION("GOOGLETRANSLATE(A590,""id"",""en"")"),"HOUSE HEALTHY HEALTHY Tools and Tensimeter Functions Glucometer Pulse Nebulizer Amp Inhaler Download the Google Playstore Medicine Application Education Amp Consultation of  Medication")</f>
        <v>HOUSE HEALTHY HEALTHY Tools and Tensimeter Functions Glucometer Pulse Nebulizer Amp Inhaler Download the Google Playstore Medicine Application Education Amp Consultation of  Medication</v>
      </c>
    </row>
    <row r="557" spans="1:2" x14ac:dyDescent="0.2">
      <c r="A557" s="1" t="s">
        <v>35</v>
      </c>
      <c r="B557" s="1" t="str">
        <f ca="1">IFERROR(__xludf.DUMFUNCTION("GOOGLETRANSLATE(A592,""id"",""en"")"),"Living peaceful money happy money is difficult")</f>
        <v>Living peaceful money happy money is difficult</v>
      </c>
    </row>
    <row r="558" spans="1:2" x14ac:dyDescent="0.2">
      <c r="A558" s="1" t="s">
        <v>2836</v>
      </c>
      <c r="B558" s="1" t="str">
        <f ca="1">IFERROR(__xludf.DUMFUNCTION("GOOGLETRANSLATE(A593,""id"",""en"")"),"if you list , just install the link, don't think about people using the memory hp, the remaining memory of the kall is installing the application")</f>
        <v>if you list , just install the link, don't think about people using the memory hp, the remaining memory of the kall is installing the application</v>
      </c>
    </row>
    <row r="559" spans="1:2" x14ac:dyDescent="0.2">
      <c r="A559" s="1" t="s">
        <v>36</v>
      </c>
      <c r="B559" s="1" t="str">
        <f ca="1">IFERROR(__xludf.DUMFUNCTION("GOOGLETRANSLATE(A594,""id"",""en"")"),"mantabbbbbb wisely why")</f>
        <v>mantabbbbbb wisely why</v>
      </c>
    </row>
    <row r="560" spans="1:2" x14ac:dyDescent="0.2">
      <c r="A560" s="1" t="s">
        <v>2837</v>
      </c>
      <c r="B560" s="1" t="str">
        <f ca="1">IFERROR(__xludf.DUMFUNCTION("GOOGLETRANSLATE(A595,""id"",""en"")"),"good morning forgot to download the  application, happy queued")</f>
        <v>good morning forgot to download the  application, happy queued</v>
      </c>
    </row>
    <row r="561" spans="1:2" x14ac:dyDescent="0.2">
      <c r="A561" s="1" t="s">
        <v>2838</v>
      </c>
      <c r="B561" s="1" t="str">
        <f ca="1">IFERROR(__xludf.DUMFUNCTION("GOOGLETRANSLATE(A596,""id"",""en"")"),"Buzzer  is restless")</f>
        <v>Buzzer  is restless</v>
      </c>
    </row>
    <row r="562" spans="1:2" x14ac:dyDescent="0.2">
      <c r="A562" s="1" t="s">
        <v>2839</v>
      </c>
      <c r="B562" s="1" t="str">
        <f ca="1">IFERROR(__xludf.DUMFUNCTION("GOOGLETRANSLATE(A598,""id"",""en"")"),"because  makes it difficult to have the hashtag of boyikot, yes, 's competitors")</f>
        <v>because  makes it difficult to have the hashtag of boyikot, yes, 's competitors</v>
      </c>
    </row>
    <row r="563" spans="1:2" x14ac:dyDescent="0.2">
      <c r="A563" s="1" t="s">
        <v>2840</v>
      </c>
      <c r="B563" s="1" t="str">
        <f ca="1">IFERROR(__xludf.DUMFUNCTION("GOOGLETRANSLATE(A599,""id"",""en"")"),"blunder commands really legitimate uud absurd contents are important people add ")</f>
        <v xml:space="preserve">blunder commands really legitimate uud absurd contents are important people add </v>
      </c>
    </row>
    <row r="564" spans="1:2" x14ac:dyDescent="0.2">
      <c r="A564" s="1" t="s">
        <v>2841</v>
      </c>
      <c r="B564" s="1" t="str">
        <f ca="1">IFERROR(__xludf.DUMFUNCTION("GOOGLETRANSLATE(A601,""id"",""en"")"),"what I seem to make up like I make up even though I'm rarely lazy to use , there is no name of the cost, the price of the liter is hit by the price of the liter.")</f>
        <v>what I seem to make up like I make up even though I'm rarely lazy to use , there is no name of the cost, the price of the liter is hit by the price of the liter.</v>
      </c>
    </row>
    <row r="565" spans="1:2" x14ac:dyDescent="0.2">
      <c r="A565" s="1" t="s">
        <v>2842</v>
      </c>
      <c r="B565" s="1" t="str">
        <f ca="1">IFERROR(__xludf.DUMFUNCTION("GOOGLETRANSLATE(A602,""id"",""en"")"),"Playing HP forbid gas stations to buy pertalite using the  application")</f>
        <v>Playing HP forbid gas stations to buy pertalite using the  application</v>
      </c>
    </row>
    <row r="566" spans="1:2" x14ac:dyDescent="0.2">
      <c r="A566" s="1" t="s">
        <v>2843</v>
      </c>
      <c r="B566" s="1" t="str">
        <f ca="1">IFERROR(__xludf.DUMFUNCTION("GOOGLETRANSLATE(A603,""id"",""en"")")," is complicated, just buy it, it is easy")</f>
        <v xml:space="preserve"> is complicated, just buy it, it is easy</v>
      </c>
    </row>
    <row r="567" spans="1:2" x14ac:dyDescent="0.2">
      <c r="A567" s="1" t="s">
        <v>2844</v>
      </c>
      <c r="B567" s="1" t="str">
        <f ca="1">IFERROR(__xludf.DUMFUNCTION("GOOGLETRANSLATE(A604,""id"",""en"")"),"Simple Cipta Bahagia Chico Doctor  Last Anime Ve Lontong Psychology")</f>
        <v>Simple Cipta Bahagia Chico Doctor  Last Anime Ve Lontong Psychology</v>
      </c>
    </row>
    <row r="568" spans="1:2" x14ac:dyDescent="0.2">
      <c r="A568" s="1" t="s">
        <v>2845</v>
      </c>
      <c r="B568" s="1" t="str">
        <f ca="1">IFERROR(__xludf.DUMFUNCTION("GOOGLETRANSLATE(A605,""id"",""en"")"),"Jakarta Blm The province trials on July plus a gasoline car using  just relax")</f>
        <v>Jakarta Blm The province trials on July plus a gasoline car using  just relax</v>
      </c>
    </row>
    <row r="569" spans="1:2" x14ac:dyDescent="0.2">
      <c r="A569" s="1" t="s">
        <v>2846</v>
      </c>
      <c r="B569" s="1" t="str">
        <f ca="1">IFERROR(__xludf.DUMFUNCTION("GOOGLETRANSLATE(A606,""id"",""en"")"),"Friends Tongkrong just play mobile legend I don't join the mobile legend because the memory of the cellphone is full")</f>
        <v>Friends Tongkrong just play mobile legend I don't join the mobile legend because the memory of the cellphone is full</v>
      </c>
    </row>
    <row r="570" spans="1:2" x14ac:dyDescent="0.2">
      <c r="A570" s="1" t="s">
        <v>2847</v>
      </c>
      <c r="B570" s="1" t="str">
        <f ca="1">IFERROR(__xludf.DUMFUNCTION("GOOGLETRANSLATE(A607,""id"",""en"")"),"Buy Pertalite Solar SPBU Tanoa Samrtphone Bring Print Out Barcode ")</f>
        <v xml:space="preserve">Buy Pertalite Solar SPBU Tanoa Samrtphone Bring Print Out Barcode </v>
      </c>
    </row>
    <row r="571" spans="1:2" x14ac:dyDescent="0.2">
      <c r="A571" s="1" t="s">
        <v>2848</v>
      </c>
      <c r="B571" s="1" t="str">
        <f ca="1">IFERROR(__xludf.DUMFUNCTION("GOOGLETRANSLATE(A608,""id"",""en"")"),"Hooray Motor Passed  Application Except")</f>
        <v>Hooray Motor Passed  Application Except</v>
      </c>
    </row>
    <row r="572" spans="1:2" x14ac:dyDescent="0.2">
      <c r="A572" s="1" t="s">
        <v>2849</v>
      </c>
      <c r="B572" s="1" t="str">
        <f ca="1">IFERROR(__xludf.DUMFUNCTION("GOOGLETRANSLATE(A610,""id"",""en"")"),"Buy BBM Must use  Ade Hartati Maintain Integrity Commitment")</f>
        <v>Buy BBM Must use  Ade Hartati Maintain Integrity Commitment</v>
      </c>
    </row>
    <row r="573" spans="1:2" x14ac:dyDescent="0.2">
      <c r="A573" s="1" t="s">
        <v>37</v>
      </c>
      <c r="B573" s="1" t="str">
        <f ca="1">IFERROR(__xludf.DUMFUNCTION("GOOGLETRANSLATE(A611,""id"",""en"")"),"Cung Guna Pertalite July Fill Pertalite gasoline using the mah protected application")</f>
        <v>Cung Guna Pertalite July Fill Pertalite gasoline using the mah protected application</v>
      </c>
    </row>
    <row r="574" spans="1:2" x14ac:dyDescent="0.2">
      <c r="A574" s="1" t="s">
        <v>2850</v>
      </c>
      <c r="B574" s="1" t="str">
        <f ca="1">IFERROR(__xludf.DUMFUNCTION("GOOGLETRANSLATE(A612,""id"",""en"")"),"wisely out of  application is difficult to watch out the distribution of oil subsidies")</f>
        <v>wisely out of  application is difficult to watch out the distribution of oil subsidies</v>
      </c>
    </row>
    <row r="575" spans="1:2" x14ac:dyDescent="0.2">
      <c r="A575" s="1" t="s">
        <v>2851</v>
      </c>
      <c r="B575" s="1" t="str">
        <f ca="1">IFERROR(__xludf.DUMFUNCTION("GOOGLETRANSLATE(A613,""id"",""en"")"),"FYI SUBSIDI SASAR JULI  OPEN THE  WEBSITE List Yayayya List")</f>
        <v>FYI SUBSIDI SASAR JULI  OPEN THE  WEBSITE List Yayayya List</v>
      </c>
    </row>
    <row r="576" spans="1:2" x14ac:dyDescent="0.2">
      <c r="A576" s="1" t="s">
        <v>2852</v>
      </c>
      <c r="B576" s="1" t="str">
        <f ca="1">IFERROR(__xludf.DUMFUNCTION("GOOGLETRANSLATE(A614,""id"",""en"")"),"Sasar Salasi July  Open a list of Practical Effective  websites")</f>
        <v>Sasar Salasi July  Open a list of Practical Effective  websites</v>
      </c>
    </row>
    <row r="577" spans="1:2" x14ac:dyDescent="0.2">
      <c r="A577" s="1" t="s">
        <v>2853</v>
      </c>
      <c r="B577" s="1" t="str">
        <f ca="1">IFERROR(__xludf.DUMFUNCTION("GOOGLETRANSLATE(A615,""id"",""en"")"),"Popular Money Buy LPG Kg Using  Working  Good Working")</f>
        <v>Popular Money Buy LPG Kg Using  Working  Good Working</v>
      </c>
    </row>
    <row r="578" spans="1:2" x14ac:dyDescent="0.2">
      <c r="A578" s="1" t="s">
        <v>2854</v>
      </c>
      <c r="B578" s="1" t="str">
        <f ca="1">IFERROR(__xludf.DUMFUNCTION("GOOGLETRANSLATE(A616,""id"",""en"")"),"Sasar Salasi July  Open the list of  websites, it is really mandatory")</f>
        <v>Sasar Salasi July  Open the list of  websites, it is really mandatory</v>
      </c>
    </row>
    <row r="579" spans="1:2" x14ac:dyDescent="0.2">
      <c r="A579" s="1" t="s">
        <v>2855</v>
      </c>
      <c r="B579" s="1" t="str">
        <f ca="1">IFERROR(__xludf.DUMFUNCTION("GOOGLETRANSLATE(A617,""id"",""en"")"),"Hiswana Migas  Data Value Accurate BBM Data")</f>
        <v>Hiswana Migas  Data Value Accurate BBM Data</v>
      </c>
    </row>
    <row r="580" spans="1:2" x14ac:dyDescent="0.2">
      <c r="A580" s="1" t="s">
        <v>2856</v>
      </c>
      <c r="B580" s="1" t="str">
        <f ca="1">IFERROR(__xludf.DUMFUNCTION("GOOGLETRANSLATE(A618,""id"",""en"")")," ugly review")</f>
        <v xml:space="preserve"> ugly review</v>
      </c>
    </row>
    <row r="581" spans="1:2" x14ac:dyDescent="0.2">
      <c r="A581" s="1" t="s">
        <v>2857</v>
      </c>
      <c r="B581" s="1" t="str">
        <f ca="1">IFERROR(__xludf.DUMFUNCTION("GOOGLETRANSLATE(A619,""id"",""en"")"),"Buy Pertalite List of  Motorcycle Cars")</f>
        <v>Buy Pertalite List of  Motorcycle Cars</v>
      </c>
    </row>
    <row r="582" spans="1:2" x14ac:dyDescent="0.2">
      <c r="A582" s="1" t="s">
        <v>2858</v>
      </c>
      <c r="B582" s="1" t="str">
        <f ca="1">IFERROR(__xludf.DUMFUNCTION("GOOGLETRANSLATE(A620,""id"",""en"")"),"Already know the Sasar July Subsidy Bomb  Open the list of the  website directly list")</f>
        <v>Already know the Sasar July Subsidy Bomb  Open the list of the  website directly list</v>
      </c>
    </row>
    <row r="583" spans="1:2" x14ac:dyDescent="0.2">
      <c r="A583" s="1" t="s">
        <v>2859</v>
      </c>
      <c r="B583" s="1" t="str">
        <f ca="1">IFERROR(__xludf.DUMFUNCTION("GOOGLETRANSLATE(A621,""id"",""en"")"),"comment reading the facts of playing ")</f>
        <v xml:space="preserve">comment reading the facts of playing </v>
      </c>
    </row>
    <row r="584" spans="1:2" x14ac:dyDescent="0.2">
      <c r="A584" s="1" t="s">
        <v>2860</v>
      </c>
      <c r="B584" s="1" t="str">
        <f ca="1">IFERROR(__xludf.DUMFUNCTION("GOOGLETRANSLATE(A622,""id"",""en"")"),"orders for people's plans to buy lpg kg  applications efforts are carried out")</f>
        <v>orders for people's plans to buy lpg kg  applications efforts are carried out</v>
      </c>
    </row>
    <row r="585" spans="1:2" x14ac:dyDescent="0.2">
      <c r="A585" s="1" t="s">
        <v>2861</v>
      </c>
      <c r="B585" s="1" t="str">
        <f ca="1">IFERROR(__xludf.DUMFUNCTION("GOOGLETRANSLATE(A623,""id"",""en"")"),"ayoo list of Sasar July subsidies  Open the list of  websites")</f>
        <v>ayoo list of Sasar July subsidies  Open the list of  websites</v>
      </c>
    </row>
    <row r="586" spans="1:2" x14ac:dyDescent="0.2">
      <c r="A586" s="1" t="s">
        <v>2862</v>
      </c>
      <c r="B586" s="1" t="str">
        <f ca="1">IFERROR(__xludf.DUMFUNCTION("GOOGLETRANSLATE(A624,""id"",""en"")"),"Buy Pertalite Solar Mandatory Use  Listen to the Temographic List")</f>
        <v>Buy Pertalite Solar Mandatory Use  Listen to the Temographic List</v>
      </c>
    </row>
    <row r="587" spans="1:2" x14ac:dyDescent="0.2">
      <c r="A587" s="1" t="s">
        <v>2863</v>
      </c>
      <c r="B587" s="1" t="str">
        <f ca="1">IFERROR(__xludf.DUMFUNCTION("GOOGLETRANSLATE(A625,""id"",""en"")"),"Recommendations for Marriage Conduct Heels Formal Cangtips events Thread Azzam Holywings ")</f>
        <v xml:space="preserve">Recommendations for Marriage Conduct Heels Formal Cangtips events Thread Azzam Holywings </v>
      </c>
    </row>
    <row r="588" spans="1:2" x14ac:dyDescent="0.2">
      <c r="A588" s="1" t="s">
        <v>955</v>
      </c>
      <c r="B588" s="1" t="str">
        <f ca="1">IFERROR(__xludf.DUMFUNCTION("GOOGLETRANSLATE(A626,""id"",""en"")"),"Corporate Secretary of PT  Patra Niaga Irto Ginting Buy Subsidized BBM for Roda Kendara")</f>
        <v>Corporate Secretary of PT  Patra Niaga Irto Ginting Buy Subsidized BBM for Roda Kendara</v>
      </c>
    </row>
    <row r="589" spans="1:2" x14ac:dyDescent="0.2">
      <c r="A589" s="1" t="s">
        <v>2864</v>
      </c>
      <c r="B589" s="1" t="str">
        <f ca="1">IFERROR(__xludf.DUMFUNCTION("GOOGLETRANSLATE(A627,""id"",""en"")"),"Alert the official Instagram account  June Buy BBM Subsidized List of pertam")</f>
        <v>Alert the official Instagram account  June Buy BBM Subsidized List of pertam</v>
      </c>
    </row>
    <row r="590" spans="1:2" x14ac:dyDescent="0.2">
      <c r="A590" s="1" t="s">
        <v>2865</v>
      </c>
      <c r="B590" s="1" t="str">
        <f ca="1">IFERROR(__xludf.DUMFUNCTION("GOOGLETRANSLATE(A628,""id"",""en"")"),"I really support the Sasar July subsidy  open the list of  websites")</f>
        <v>I really support the Sasar July subsidy  open the list of  websites</v>
      </c>
    </row>
    <row r="591" spans="1:2" x14ac:dyDescent="0.2">
      <c r="A591" s="1" t="s">
        <v>2866</v>
      </c>
      <c r="B591" s="1" t="str">
        <f ca="1">IFERROR(__xludf.DUMFUNCTION("GOOGLETRANSLATE(A629,""id"",""en"")"),"For your info on Sasar July, , open the list of  websites")</f>
        <v>For your info on Sasar July, , open the list of  websites</v>
      </c>
    </row>
    <row r="592" spans="1:2" x14ac:dyDescent="0.2">
      <c r="A592" s="1" t="s">
        <v>2867</v>
      </c>
      <c r="B592" s="1" t="str">
        <f ca="1">IFERROR(__xludf.DUMFUNCTION("GOOGLETRANSLATE(A630,""id"",""en"")"),"nder facts play  read the scattered gaes")</f>
        <v>nder facts play  read the scattered gaes</v>
      </c>
    </row>
    <row r="593" spans="1:2" x14ac:dyDescent="0.2">
      <c r="A593" s="1" t="s">
        <v>2868</v>
      </c>
      <c r="B593" s="1" t="str">
        <f ca="1">IFERROR(__xludf.DUMFUNCTION("GOOGLETRANSLATE(A631,""id"",""en"")"),"Sasar Salasi July  Open a list of  solid websites. Moga Success")</f>
        <v>Sasar Salasi July  Open a list of  solid websites. Moga Success</v>
      </c>
    </row>
    <row r="594" spans="1:2" x14ac:dyDescent="0.2">
      <c r="A594" s="1" t="s">
        <v>2869</v>
      </c>
      <c r="B594" s="1" t="str">
        <f ca="1">IFERROR(__xludf.DUMFUNCTION("GOOGLETRANSLATE(A632,""id"",""en"")"),"list of fuel subsidies for the special  website")</f>
        <v>list of fuel subsidies for the special  website</v>
      </c>
    </row>
    <row r="595" spans="1:2" x14ac:dyDescent="0.2">
      <c r="A595" s="1" t="s">
        <v>2870</v>
      </c>
      <c r="B595" s="1" t="str">
        <f ca="1">IFERROR(__xludf.DUMFUNCTION("GOOGLETRANSLATE(A633,""id"",""en"")"),"argument of the argument of an ineffective person for  or not be cared for waiting for the explosive")</f>
        <v>argument of the argument of an ineffective person for  or not be cared for waiting for the explosive</v>
      </c>
    </row>
    <row r="596" spans="1:2" x14ac:dyDescent="0.2">
      <c r="A596" s="1" t="s">
        <v>2871</v>
      </c>
      <c r="B596" s="1" t="str">
        <f ca="1">IFERROR(__xludf.DUMFUNCTION("GOOGLETRANSLATE(A634,""id"",""en"")"),"Forgot to register ")</f>
        <v xml:space="preserve">Forgot to register </v>
      </c>
    </row>
    <row r="597" spans="1:2" x14ac:dyDescent="0.2">
      <c r="A597" s="1" t="s">
        <v>2872</v>
      </c>
      <c r="B597" s="1" t="str">
        <f ca="1">IFERROR(__xludf.DUMFUNCTION("GOOGLETRANSLATE(A635,""id"",""en"")"),"Sasar Salasi July  Open the list of  websites, guys")</f>
        <v>Sasar Salasi July  Open the list of  websites, guys</v>
      </c>
    </row>
    <row r="598" spans="1:2" x14ac:dyDescent="0.2">
      <c r="A598" s="1" t="s">
        <v>2873</v>
      </c>
      <c r="B598" s="1" t="str">
        <f ca="1">IFERROR(__xludf.DUMFUNCTION("GOOGLETRANSLATE(A636,""id"",""en"")"),"Buy gasoline using the  Music Music Poetry Poem Poetry Application Poetry Pantun Nature")</f>
        <v>Buy gasoline using the  Music Music Poetry Poem Poetry Application Poetry Pantun Nature</v>
      </c>
    </row>
    <row r="599" spans="1:2" x14ac:dyDescent="0.2">
      <c r="A599" s="1" t="s">
        <v>2874</v>
      </c>
      <c r="B599" s="1" t="str">
        <f ca="1">IFERROR(__xludf.DUMFUNCTION("GOOGLETRANSLATE(A638,""id"",""en"")")," protected super app")</f>
        <v xml:space="preserve"> protected super app</v>
      </c>
    </row>
    <row r="600" spans="1:2" x14ac:dyDescent="0.2">
      <c r="A600" s="1" t="s">
        <v>2874</v>
      </c>
      <c r="B600" s="1" t="str">
        <f ca="1">IFERROR(__xludf.DUMFUNCTION("GOOGLETRANSLATE(A639,""id"",""en"")")," protected super app")</f>
        <v xml:space="preserve"> protected super app</v>
      </c>
    </row>
    <row r="601" spans="1:2" x14ac:dyDescent="0.2">
      <c r="A601" s="1" t="s">
        <v>2873</v>
      </c>
      <c r="B601" s="1" t="str">
        <f ca="1">IFERROR(__xludf.DUMFUNCTION("GOOGLETRANSLATE(A640,""id"",""en"")"),"Buy gasoline using the  Music Music Poetry Poem Poetry Application Poetry Pantun Nature")</f>
        <v>Buy gasoline using the  Music Music Poetry Poem Poetry Application Poetry Pantun Nature</v>
      </c>
    </row>
    <row r="602" spans="1:2" x14ac:dyDescent="0.2">
      <c r="A602" s="1" t="s">
        <v>2875</v>
      </c>
      <c r="B602" s="1" t="str">
        <f ca="1">IFERROR(__xludf.DUMFUNCTION("GOOGLETRANSLATE(A641,""id"",""en"")"),"List of  using a car track if you buy pertitis")</f>
        <v>List of  using a car track if you buy pertitis</v>
      </c>
    </row>
    <row r="603" spans="1:2" x14ac:dyDescent="0.2">
      <c r="A603" s="1" t="s">
        <v>2876</v>
      </c>
      <c r="B603" s="1" t="str">
        <f ca="1">IFERROR(__xludf.DUMFUNCTION("GOOGLETRANSLATE(A642,""id"",""en"")"),"Bneran must install ")</f>
        <v xml:space="preserve">Bneran must install </v>
      </c>
    </row>
    <row r="604" spans="1:2" x14ac:dyDescent="0.2">
      <c r="A604" s="1" t="s">
        <v>2877</v>
      </c>
      <c r="B604" s="1" t="str">
        <f ca="1">IFERROR(__xludf.DUMFUNCTION("GOOGLETRANSLATE(A643,""id"",""en"")"),"Rame safe campaign for wise hp gas stations apps  forbidden")</f>
        <v>Rame safe campaign for wise hp gas stations apps  forbidden</v>
      </c>
    </row>
    <row r="605" spans="1:2" x14ac:dyDescent="0.2">
      <c r="A605" s="1" t="s">
        <v>2384</v>
      </c>
      <c r="B605" s="1" t="str">
        <f ca="1">IFERROR(__xludf.DUMFUNCTION("GOOGLETRANSLATE(A644,""id"",""en"")"),"Bandung City Government Kendara Motor uses the  application to buy Pertalite")</f>
        <v>Bandung City Government Kendara Motor uses the  application to buy Pertalite</v>
      </c>
    </row>
    <row r="606" spans="1:2" x14ac:dyDescent="0.2">
      <c r="A606" s="1" t="s">
        <v>2878</v>
      </c>
      <c r="B606" s="1" t="str">
        <f ca="1">IFERROR(__xludf.DUMFUNCTION("GOOGLETRANSLATE(A646,""id"",""en"")"),"Bokap I don't install  pertamini")</f>
        <v>Bokap I don't install  pertamini</v>
      </c>
    </row>
    <row r="607" spans="1:2" x14ac:dyDescent="0.2">
      <c r="A607" s="1" t="s">
        <v>2879</v>
      </c>
      <c r="B607" s="1" t="str">
        <f ca="1">IFERROR(__xludf.DUMFUNCTION("GOOGLETRANSLATE(A647,""id"",""en"")"),"Forgot  link,  link is resentful because of installing the  memory app.")</f>
        <v>Forgot  link,  link is resentful because of installing the  memory app.</v>
      </c>
    </row>
    <row r="608" spans="1:2" x14ac:dyDescent="0.2">
      <c r="A608" s="1" t="s">
        <v>2880</v>
      </c>
      <c r="B608" s="1" t="str">
        <f ca="1">IFERROR(__xludf.DUMFUNCTION("GOOGLETRANSLATE(A648,""id"",""en"")"),"Indonesia, expensive British cooking oil amp European pour thousands of tons of cooking oil, fuel kendara Hargametmet Mendagkaget oil for we oilgoreng waanjaiparty")</f>
        <v>Indonesia, expensive British cooking oil amp European pour thousands of tons of cooking oil, fuel kendara Hargametmet Mendagkaget oil for we oilgoreng waanjaiparty</v>
      </c>
    </row>
    <row r="609" spans="1:2" x14ac:dyDescent="0.2">
      <c r="A609" s="1" t="s">
        <v>2881</v>
      </c>
      <c r="B609" s="1" t="str">
        <f ca="1">IFERROR(__xludf.DUMFUNCTION("GOOGLETRANSLATE(A649,""id"",""en"")"),"if you enter heaven dftr  ga")</f>
        <v>if you enter heaven dftr  ga</v>
      </c>
    </row>
    <row r="610" spans="1:2" x14ac:dyDescent="0.2">
      <c r="A610" s="1" t="s">
        <v>2882</v>
      </c>
      <c r="B610" s="1" t="str">
        <f ca="1">IFERROR(__xludf.DUMFUNCTION("GOOGLETRANSLATE(A650,""id"",""en"")")," application owned by a private luxury motorbike if the contents of the subsidized fuel sometimes fill up to the full tank if you are a motorbike contents of the subsidized bbm thousand not using the   anjg application")</f>
        <v xml:space="preserve"> application owned by a private luxury motorbike if the contents of the subsidized fuel sometimes fill up to the full tank if you are a motorbike contents of the subsidized bbm thousand not using the   anjg application</v>
      </c>
    </row>
    <row r="611" spans="1:2" x14ac:dyDescent="0.2">
      <c r="A611" s="1" t="s">
        <v>2883</v>
      </c>
      <c r="B611" s="1" t="str">
        <f ca="1">IFERROR(__xludf.DUMFUNCTION("GOOGLETRANSLATE(A652,""id"",""en"")"),"Buy Pertalite Using ")</f>
        <v xml:space="preserve">Buy Pertalite Using </v>
      </c>
    </row>
    <row r="612" spans="1:2" x14ac:dyDescent="0.2">
      <c r="A612" s="1" t="s">
        <v>2884</v>
      </c>
      <c r="B612" s="1" t="str">
        <f ca="1">IFERROR(__xludf.DUMFUNCTION("GOOGLETRANSLATE(A654,""id"",""en"")"),"The application of the  Juli application, dear the rating of the  Playstore application, Star Bintang, Criticism of the Application Criticism")</f>
        <v>The application of the  Juli application, dear the rating of the  Playstore application, Star Bintang, Criticism of the Application Criticism</v>
      </c>
    </row>
    <row r="613" spans="1:2" x14ac:dyDescent="0.2">
      <c r="A613" s="1" t="s">
        <v>2885</v>
      </c>
      <c r="B613" s="1" t="str">
        <f ca="1">IFERROR(__xludf.DUMFUNCTION("GOOGLETRANSLATE(A655,""id"",""en"")")," Application Laks owned by private luxury motorbike cars if the contents of the subsidized fuel sometimes fill up to full tank if you have a motorbike filling the subsidized bbm thousand not using the   gblk application")</f>
        <v xml:space="preserve"> Application Laks owned by private luxury motorbike cars if the contents of the subsidized fuel sometimes fill up to full tank if you have a motorbike filling the subsidized bbm thousand not using the   gblk application</v>
      </c>
    </row>
    <row r="614" spans="1:2" x14ac:dyDescent="0.2">
      <c r="A614" s="1" t="s">
        <v>2886</v>
      </c>
      <c r="B614" s="1" t="str">
        <f ca="1">IFERROR(__xludf.DUMFUNCTION("GOOGLETRANSLATE(A656,""id"",""en"")"),"Forward Pertamin Eradication of BBM BBM SUBSIDI  CAR ROVERS ROVE SUBSIDI BBM SUBSIDIFE")</f>
        <v>Forward Pertamin Eradication of BBM BBM SUBSIDI  CAR ROVERS ROVE SUBSIDI BBM SUBSIDIFE</v>
      </c>
    </row>
    <row r="615" spans="1:2" x14ac:dyDescent="0.2">
      <c r="A615" s="1" t="s">
        <v>38</v>
      </c>
      <c r="B615" s="1" t="str">
        <f ca="1">IFERROR(__xludf.DUMFUNCTION("GOOGLETRANSLATE(A657,""id"",""en"")"),"believe there is no disaster for eternal tests that are not sad")</f>
        <v>believe there is no disaster for eternal tests that are not sad</v>
      </c>
    </row>
    <row r="616" spans="1:2" x14ac:dyDescent="0.2">
      <c r="A616" s="1" t="s">
        <v>39</v>
      </c>
      <c r="B616" s="1" t="str">
        <f ca="1">IFERROR(__xludf.DUMFUNCTION("GOOGLETRANSLATE(A658,""id"",""en"")"),"I forgot to disappear Redha sincere gaess Allah just return the Bakri Putin Thank you")</f>
        <v>I forgot to disappear Redha sincere gaess Allah just return the Bakri Putin Thank you</v>
      </c>
    </row>
    <row r="617" spans="1:2" x14ac:dyDescent="0.2">
      <c r="A617" s="1" t="s">
        <v>40</v>
      </c>
      <c r="B617" s="1" t="str">
        <f ca="1">IFERROR(__xludf.DUMFUNCTION("GOOGLETRANSLATE(A659,""id"",""en"")"),"Strong faith Test Severe because God is great to guard Bakri Put")</f>
        <v>Strong faith Test Severe because God is great to guard Bakri Put</v>
      </c>
    </row>
    <row r="618" spans="1:2" x14ac:dyDescent="0.2">
      <c r="A618" s="1" t="s">
        <v>41</v>
      </c>
      <c r="B618" s="1" t="str">
        <f ca="1">IFERROR(__xludf.DUMFUNCTION("GOOGLETRANSLATE(A660,""id"",""en"")"),"public, friend, July, the list of vehicles to buy diesel fuel")</f>
        <v>public, friend, July, the list of vehicles to buy diesel fuel</v>
      </c>
    </row>
    <row r="619" spans="1:2" x14ac:dyDescent="0.2">
      <c r="A619" s="1" t="s">
        <v>42</v>
      </c>
      <c r="B619" s="1" t="str">
        <f ca="1">IFERROR(__xludf.DUMFUNCTION("GOOGLETRANSLATE(A661,""id"",""en"")"),"complicated not rich people who do not buy the right to buy solar pertalite so it's not complicated")</f>
        <v>complicated not rich people who do not buy the right to buy solar pertalite so it's not complicated</v>
      </c>
    </row>
    <row r="620" spans="1:2" x14ac:dyDescent="0.2">
      <c r="A620" s="1" t="s">
        <v>2887</v>
      </c>
      <c r="B620" s="1" t="str">
        <f ca="1">IFERROR(__xludf.DUMFUNCTION("GOOGLETRANSLATE(A662,""id"",""en"")"),"ehh  applications")</f>
        <v>ehh  applications</v>
      </c>
    </row>
    <row r="621" spans="1:2" x14ac:dyDescent="0.2">
      <c r="A621" s="1" t="s">
        <v>2888</v>
      </c>
      <c r="B621" s="1" t="str">
        <f ca="1">IFERROR(__xludf.DUMFUNCTION("GOOGLETRANSLATE(A663,""id"",""en"")"),"Pombensin Gabole playing henpon is accompanied by  toooood app. Hahahaha paying using QR is already weird when")</f>
        <v>Pombensin Gabole playing henpon is accompanied by  toooood app. Hahahaha paying using QR is already weird when</v>
      </c>
    </row>
    <row r="622" spans="1:2" x14ac:dyDescent="0.2">
      <c r="A622" s="1" t="s">
        <v>2889</v>
      </c>
      <c r="B622" s="1" t="str">
        <f ca="1">IFERROR(__xludf.DUMFUNCTION("GOOGLETRANSLATE(A664,""id"",""en"")")," application owned by a private luxury motorbike if the contents of the subsidized fuel sometimes fill it until the full tank if you have a motorbike filling the subsidized bbm thousand not using the   application")</f>
        <v xml:space="preserve"> application owned by a private luxury motorbike if the contents of the subsidized fuel sometimes fill it until the full tank if you have a motorbike filling the subsidized bbm thousand not using the   application</v>
      </c>
    </row>
    <row r="623" spans="1:2" x14ac:dyDescent="0.2">
      <c r="A623" s="1" t="s">
        <v>2890</v>
      </c>
      <c r="B623" s="1" t="str">
        <f ca="1">IFERROR(__xludf.DUMFUNCTION("GOOGLETRANSLATE(A665,""id"",""en"")")," Application Laks owned by private luxury motorbike cars if the contents of the subsidized fuel sometimes fill up to full tank if you have a motorbike filling the subsidized bbm thousand don't use the   knyk application")</f>
        <v xml:space="preserve"> Application Laks owned by private luxury motorbike cars if the contents of the subsidized fuel sometimes fill up to full tank if you have a motorbike filling the subsidized bbm thousand don't use the   knyk application</v>
      </c>
    </row>
    <row r="624" spans="1:2" x14ac:dyDescent="0.2">
      <c r="A624" s="1" t="s">
        <v>2891</v>
      </c>
      <c r="B624" s="1" t="str">
        <f ca="1">IFERROR(__xludf.DUMFUNCTION("GOOGLETRANSLATE(A666,""id"",""en"")")," Application Laks belongs to private luxury motorbikes if the contents of the subsidized fuel sometimes fill up to full tank if you have a motorbike filling the subsidized bbm thousand don't use the   kntl application")</f>
        <v xml:space="preserve"> Application Laks belongs to private luxury motorbikes if the contents of the subsidized fuel sometimes fill up to full tank if you have a motorbike filling the subsidized bbm thousand don't use the   kntl application</v>
      </c>
    </row>
    <row r="625" spans="1:2" x14ac:dyDescent="0.2">
      <c r="A625" s="1" t="s">
        <v>2892</v>
      </c>
      <c r="B625" s="1" t="str">
        <f ca="1">IFERROR(__xludf.DUMFUNCTION("GOOGLETRANSLATE(A667,""id"",""en"")"),"List of  Buy Pertalite Solar")</f>
        <v>List of  Buy Pertalite Solar</v>
      </c>
    </row>
    <row r="626" spans="1:2" x14ac:dyDescent="0.2">
      <c r="A626" s="1" t="s">
        <v>2893</v>
      </c>
      <c r="B626" s="1" t="str">
        <f ca="1">IFERROR(__xludf.DUMFUNCTION("GOOGLETRANSLATE(A668,""id"",""en"")"),"Order Gaptek Boomer Only Arrogant Teaching Want to Pretentious and Subject to Protect  KTP Soking and Block Main Ott Main Wa Twitter ig Youtube")</f>
        <v>Order Gaptek Boomer Only Arrogant Teaching Want to Pretentious and Subject to Protect  KTP Soking and Block Main Ott Main Wa Twitter ig Youtube</v>
      </c>
    </row>
    <row r="627" spans="1:2" x14ac:dyDescent="0.2">
      <c r="A627" s="1" t="s">
        <v>2894</v>
      </c>
      <c r="B627" s="1" t="str">
        <f ca="1">IFERROR(__xludf.DUMFUNCTION("GOOGLETRANSLATE(A669,""id"",""en"")"),"hear listening to buy a catfish pecel must list  yes")</f>
        <v>hear listening to buy a catfish pecel must list  yes</v>
      </c>
    </row>
    <row r="628" spans="1:2" x14ac:dyDescent="0.2">
      <c r="A628" s="1" t="s">
        <v>43</v>
      </c>
      <c r="B628" s="1" t="str">
        <f ca="1">IFERROR(__xludf.DUMFUNCTION("GOOGLETRANSLATE(A670,""id"",""en"")"),"Nek Web Kudune Wheel Ga Ga application, bro")</f>
        <v>Nek Web Kudune Wheel Ga Ga application, bro</v>
      </c>
    </row>
    <row r="629" spans="1:2" x14ac:dyDescent="0.2">
      <c r="A629" s="1" t="s">
        <v>2895</v>
      </c>
      <c r="B629" s="1" t="str">
        <f ca="1">IFERROR(__xludf.DUMFUNCTION("GOOGLETRANSLATE(A671,""id"",""en"")"),"tomorrow the community with a list of ")</f>
        <v xml:space="preserve">tomorrow the community with a list of </v>
      </c>
    </row>
    <row r="630" spans="1:2" x14ac:dyDescent="0.2">
      <c r="A630" s="1" t="s">
        <v>2896</v>
      </c>
      <c r="B630" s="1" t="str">
        <f ca="1">IFERROR(__xludf.DUMFUNCTION("GOOGLETRANSLATE(A672,""id"",""en"")"),"the community is in July to buy BBM using the  application")</f>
        <v>the community is in July to buy BBM using the  application</v>
      </c>
    </row>
    <row r="631" spans="1:2" x14ac:dyDescent="0.2">
      <c r="A631" s="1" t="s">
        <v>2897</v>
      </c>
      <c r="B631" s="1" t="str">
        <f ca="1">IFERROR(__xludf.DUMFUNCTION("GOOGLETRANSLATE(A673,""id"",""en"")"),"July therapy provinces buy Pertalite Solar  Tam")</f>
        <v>July therapy provinces buy Pertalite Solar  Tam</v>
      </c>
    </row>
    <row r="632" spans="1:2" x14ac:dyDescent="0.2">
      <c r="A632" s="1" t="s">
        <v>2898</v>
      </c>
      <c r="B632" s="1" t="str">
        <f ca="1">IFERROR(__xludf.DUMFUNCTION("GOOGLETRANSLATE(A674,""id"",""en"")"),"using  physical money does not sell via link distribution of gas station fuel if lpg buy")</f>
        <v>using  physical money does not sell via link distribution of gas station fuel if lpg buy</v>
      </c>
    </row>
    <row r="633" spans="1:2" x14ac:dyDescent="0.2">
      <c r="A633" s="1" t="s">
        <v>2899</v>
      </c>
      <c r="B633" s="1" t="str">
        <f ca="1">IFERROR(__xludf.DUMFUNCTION("GOOGLETRANSLATE(A675,""id"",""en"")"),"mantab dech nkri buying gas kg must list  ambyar")</f>
        <v>mantab dech nkri buying gas kg must list  ambyar</v>
      </c>
    </row>
    <row r="634" spans="1:2" x14ac:dyDescent="0.2">
      <c r="A634" s="1" t="s">
        <v>2899</v>
      </c>
      <c r="B634" s="1" t="str">
        <f ca="1">IFERROR(__xludf.DUMFUNCTION("GOOGLETRANSLATE(A676,""id"",""en"")"),"mantab dech nkri buying gas kg must list  ambyar")</f>
        <v>mantab dech nkri buying gas kg must list  ambyar</v>
      </c>
    </row>
    <row r="635" spans="1:2" x14ac:dyDescent="0.2">
      <c r="A635" s="1" t="s">
        <v>2900</v>
      </c>
      <c r="B635" s="1" t="str">
        <f ca="1">IFERROR(__xludf.DUMFUNCTION("GOOGLETRANSLATE(A677,""id"",""en"")"),"Tomorrow  Laku Rich Rich Domination Using Pertalite")</f>
        <v>Tomorrow  Laku Rich Rich Domination Using Pertalite</v>
      </c>
    </row>
    <row r="636" spans="1:2" x14ac:dyDescent="0.2">
      <c r="A636" s="1" t="s">
        <v>2901</v>
      </c>
      <c r="B636" s="1" t="str">
        <f ca="1">IFERROR(__xludf.DUMFUNCTION("GOOGLETRANSLATE(A678,""id"",""en"")"),"Rp. Terminal Wallet Apk  Big Data Big Money Calculate Calculator")</f>
        <v>Rp. Terminal Wallet Apk  Big Data Big Money Calculate Calculator</v>
      </c>
    </row>
    <row r="637" spans="1:2" x14ac:dyDescent="0.2">
      <c r="A637" s="1" t="s">
        <v>2902</v>
      </c>
      <c r="B637" s="1" t="str">
        <f ca="1">IFERROR(__xludf.DUMFUNCTION("GOOGLETRANSLATE(A679,""id"",""en"")"),"Pay pertalit ngakk bang that app ")</f>
        <v xml:space="preserve">Pay pertalit ngakk bang that app </v>
      </c>
    </row>
    <row r="638" spans="1:2" x14ac:dyDescent="0.2">
      <c r="A638" s="1" t="s">
        <v>2903</v>
      </c>
      <c r="B638" s="1" t="str">
        <f ca="1">IFERROR(__xludf.DUMFUNCTION("GOOGLETRANSLATE(A680,""id"",""en"")"),"Believe there is no disaster for eternal testing, no sad tears, Bakri Putin, thank you June Jordi  Vito Prayer Fearless Friday Night Melurfius")</f>
        <v>Believe there is no disaster for eternal testing, no sad tears, Bakri Putin, thank you June Jordi  Vito Prayer Fearless Friday Night Melurfius</v>
      </c>
    </row>
    <row r="639" spans="1:2" x14ac:dyDescent="0.2">
      <c r="A639" s="1" t="s">
        <v>2904</v>
      </c>
      <c r="B639" s="1" t="str">
        <f ca="1">IFERROR(__xludf.DUMFUNCTION("GOOGLETRANSLATE(A681,""id"",""en"")"),"Eyelashes Falling Destiny of God Missing Friday Night  Me")</f>
        <v>Eyelashes Falling Destiny of God Missing Friday Night  Me</v>
      </c>
    </row>
    <row r="640" spans="1:2" x14ac:dyDescent="0.2">
      <c r="A640" s="1" t="s">
        <v>2905</v>
      </c>
      <c r="B640" s="1" t="str">
        <f ca="1">IFERROR(__xludf.DUMFUNCTION("GOOGLETRANSLATE(A682,""id"",""en"")")," Apps Monitor BBM Subsidies")</f>
        <v xml:space="preserve"> Apps Monitor BBM Subsidies</v>
      </c>
    </row>
    <row r="641" spans="1:2" x14ac:dyDescent="0.2">
      <c r="A641" s="1" t="s">
        <v>2682</v>
      </c>
      <c r="B641" s="1" t="str">
        <f ca="1">IFERROR(__xludf.DUMFUNCTION("GOOGLETRANSLATE(A683,""id"",""en"")"),"Criticism for  PB HMI is difficult for the people to get BBM")</f>
        <v>Criticism for  PB HMI is difficult for the people to get BBM</v>
      </c>
    </row>
    <row r="642" spans="1:2" x14ac:dyDescent="0.2">
      <c r="A642" s="1" t="s">
        <v>2906</v>
      </c>
      <c r="B642" s="1" t="str">
        <f ca="1">IFERROR(__xludf.DUMFUNCTION("GOOGLETRANSLATE(A684,""id"",""en"")"),"Alun Al Kahfi Night Moga Allah Rahmat Jalan Bakri Putin Thank you Jordi  Vito Prayer Fearless Friday Night Friday Tvn Eve St of July")</f>
        <v>Alun Al Kahfi Night Moga Allah Rahmat Jalan Bakri Putin Thank you Jordi  Vito Prayer Fearless Friday Night Friday Tvn Eve St of July</v>
      </c>
    </row>
    <row r="643" spans="1:2" x14ac:dyDescent="0.2">
      <c r="A643" s="1" t="s">
        <v>2907</v>
      </c>
      <c r="B643" s="1" t="str">
        <f ca="1">IFERROR(__xludf.DUMFUNCTION("GOOGLETRANSLATE(A685,""id"",""en"")"),"intelligent war people's lust wins God Munif Chatib Maljum Friday Night Julia Roberts Secretary General of the United Nations  Putin Malamjumat")</f>
        <v>intelligent war people's lust wins God Munif Chatib Maljum Friday Night Julia Roberts Secretary General of the United Nations  Putin Malamjumat</v>
      </c>
    </row>
    <row r="644" spans="1:2" x14ac:dyDescent="0.2">
      <c r="A644" s="1" t="s">
        <v>2908</v>
      </c>
      <c r="B644" s="1" t="str">
        <f ca="1">IFERROR(__xludf.DUMFUNCTION("GOOGLETRANSLATE(A686,""id"",""en"")"),"Naturally, Human Heart Change Management of Jordi First Kdrama  First Night Fearless Bniwajibdiaudit Jin")</f>
        <v>Naturally, Human Heart Change Management of Jordi First Kdrama  First Night Fearless Bniwajibdiaudit Jin</v>
      </c>
    </row>
    <row r="645" spans="1:2" x14ac:dyDescent="0.2">
      <c r="A645" s="1" t="s">
        <v>2909</v>
      </c>
      <c r="B645" s="1" t="str">
        <f ca="1">IFERROR(__xludf.DUMFUNCTION("GOOGLETRANSLATE(A687,""id"",""en"")"),"Answer  Pertamax Bright Gas Gedakasik Yuk Like Follow Join Quiz")</f>
        <v>Answer  Pertamax Bright Gas Gedakasik Yuk Like Follow Join Quiz</v>
      </c>
    </row>
    <row r="646" spans="1:2" x14ac:dyDescent="0.2">
      <c r="A646" s="1" t="s">
        <v>2910</v>
      </c>
      <c r="B646" s="1" t="str">
        <f ca="1">IFERROR(__xludf.DUMFUNCTION("GOOGLETRANSLATE(A688,""id"",""en"")"),"retweet posting must download the  link application private account, friend period")</f>
        <v>retweet posting must download the  link application private account, friend period</v>
      </c>
    </row>
    <row r="647" spans="1:2" x14ac:dyDescent="0.2">
      <c r="A647" s="1" t="s">
        <v>2911</v>
      </c>
      <c r="B647" s="1" t="str">
        <f ca="1">IFERROR(__xludf.DUMFUNCTION("GOOGLETRANSLATE(A689,""id"",""en"")"),"I forgot to disappear Redha sincere gaess Allah just return the Bakri Putin Thank you JUNI Jordi  Vito Prayer Fearless Friday Night Melurfirdaus")</f>
        <v>I forgot to disappear Redha sincere gaess Allah just return the Bakri Putin Thank you JUNI Jordi  Vito Prayer Fearless Friday Night Melurfirdaus</v>
      </c>
    </row>
    <row r="648" spans="1:2" x14ac:dyDescent="0.2">
      <c r="A648" s="1" t="s">
        <v>2912</v>
      </c>
      <c r="B648" s="1" t="str">
        <f ca="1">IFERROR(__xludf.DUMFUNCTION("GOOGLETRANSLATE(A690,""id"",""en"")"),"Download  Fill in HRS data download links whose payment tool fills data topup balance is not easy that is shadow")</f>
        <v>Download  Fill in HRS data download links whose payment tool fills data topup balance is not easy that is shadow</v>
      </c>
    </row>
    <row r="649" spans="1:2" x14ac:dyDescent="0.2">
      <c r="A649" s="1" t="s">
        <v>2913</v>
      </c>
      <c r="B649" s="1" t="str">
        <f ca="1">IFERROR(__xludf.DUMFUNCTION("GOOGLETRANSLATE(A691,""id"",""en"")"),"Allah is good management of Jordi First Kdrama  First Night Fearless Bniwajibdiaudit Jin")</f>
        <v>Allah is good management of Jordi First Kdrama  First Night Fearless Bniwajibdiaudit Jin</v>
      </c>
    </row>
    <row r="650" spans="1:2" x14ac:dyDescent="0.2">
      <c r="A650" s="1" t="s">
        <v>2914</v>
      </c>
      <c r="B650" s="1" t="str">
        <f ca="1">IFERROR(__xludf.DUMFUNCTION("GOOGLETRANSLATE(A692,""id"",""en"")"),"GTA uses  features")</f>
        <v>GTA uses  features</v>
      </c>
    </row>
    <row r="651" spans="1:2" x14ac:dyDescent="0.2">
      <c r="A651" s="1" t="s">
        <v>2915</v>
      </c>
      <c r="B651" s="1" t="str">
        <f ca="1">IFERROR(__xludf.DUMFUNCTION("GOOGLETRANSLATE(A693,""id"",""en"")"),"Strong faith TEST TEST TO THE GREAT OF LORD BAKRI PUTIN THANK YOU JUNI JORDI  VITO PHARAT FEARLESS FRIDAY NIGHT TVN EVE BOYCOTTISRAEL")</f>
        <v>Strong faith TEST TEST TO THE GREAT OF LORD BAKRI PUTIN THANK YOU JUNI JORDI  VITO PHARAT FEARLESS FRIDAY NIGHT TVN EVE BOYCOTTISRAEL</v>
      </c>
    </row>
    <row r="652" spans="1:2" x14ac:dyDescent="0.2">
      <c r="A652" s="1" t="s">
        <v>2916</v>
      </c>
      <c r="B652" s="1" t="str">
        <f ca="1">IFERROR(__xludf.DUMFUNCTION("GOOGLETRANSLATE(A694,""id"",""en"")"),"Living peaceful money happy money difficult KH Maimoen Zubair Friday night Iriana Secretary General of the United Nations  Maljum")</f>
        <v>Living peaceful money happy money difficult KH Maimoen Zubair Friday night Iriana Secretary General of the United Nations  Maljum</v>
      </c>
    </row>
    <row r="653" spans="1:2" x14ac:dyDescent="0.2">
      <c r="A653" s="1" t="s">
        <v>2917</v>
      </c>
      <c r="B653" s="1" t="str">
        <f ca="1">IFERROR(__xludf.DUMFUNCTION("GOOGLETRANSLATE(A695,""id"",""en"")"),"Open the  Jockey Working lap DKT SPBU JOKI JOBY  LBH LAKU DRPD Open Pertamini")</f>
        <v>Open the  Jockey Working lap DKT SPBU JOKI JOBY  LBH LAKU DRPD Open Pertamini</v>
      </c>
    </row>
    <row r="654" spans="1:2" x14ac:dyDescent="0.2">
      <c r="A654" s="1" t="s">
        <v>2918</v>
      </c>
      <c r="B654" s="1" t="str">
        <f ca="1">IFERROR(__xludf.DUMFUNCTION("GOOGLETRANSLATE(A696,""id"",""en"")")," meme all ")</f>
        <v xml:space="preserve"> meme all </v>
      </c>
    </row>
    <row r="655" spans="1:2" x14ac:dyDescent="0.2">
      <c r="A655" s="1" t="s">
        <v>2919</v>
      </c>
      <c r="B655" s="1" t="str">
        <f ca="1">IFERROR(__xludf.DUMFUNCTION("GOOGLETRANSLATE(A697,""id"",""en"")"),"buy pertalite owned by  apps just links that deposit funds via ATM or apps banking deposits via debit cards are available to buy fuel.")</f>
        <v>buy pertalite owned by  apps just links that deposit funds via ATM or apps banking deposits via debit cards are available to buy fuel.</v>
      </c>
    </row>
    <row r="656" spans="1:2" x14ac:dyDescent="0.2">
      <c r="A656" s="1" t="s">
        <v>2920</v>
      </c>
      <c r="B656" s="1" t="str">
        <f ca="1">IFERROR(__xludf.DUMFUNCTION("GOOGLETRANSLATE(A698,""id"",""en"")"),"To , buy a sense of reason, just a link to look for  apps, qr code scan EDC gas station except QR Code paying the link just link")</f>
        <v>To , buy a sense of reason, just a link to look for  apps, qr code scan EDC gas station except QR Code paying the link just link</v>
      </c>
    </row>
    <row r="657" spans="1:2" x14ac:dyDescent="0.2">
      <c r="A657" s="1" t="s">
        <v>2921</v>
      </c>
      <c r="B657" s="1" t="str">
        <f ca="1">IFERROR(__xludf.DUMFUNCTION("GOOGLETRANSLATE(A699,""id"",""en"")"),"Playing HP forbids gas stations Pay BBM Tell Using  Projects Sesat")</f>
        <v>Playing HP forbids gas stations Pay BBM Tell Using  Projects Sesat</v>
      </c>
    </row>
    <row r="658" spans="1:2" x14ac:dyDescent="0.2">
      <c r="A658" s="1" t="s">
        <v>44</v>
      </c>
      <c r="B658" s="1" t="str">
        <f ca="1">IFERROR(__xludf.DUMFUNCTION("GOOGLETRANSLATE(A700,""id"",""en"")"),"Breaking News Tuesday afternoon after the world oil price drops in July to buy solar pertalite gas station")</f>
        <v>Breaking News Tuesday afternoon after the world oil price drops in July to buy solar pertalite gas station</v>
      </c>
    </row>
    <row r="659" spans="1:2" x14ac:dyDescent="0.2">
      <c r="A659" s="1" t="s">
        <v>2922</v>
      </c>
      <c r="B659" s="1" t="str">
        <f ca="1">IFERROR(__xludf.DUMFUNCTION("GOOGLETRANSLATE(A701,""id"",""en"")"),"why the app  doesn't just install the pom, how come the consumer doesn't make millions")</f>
        <v>why the app  doesn't just install the pom, how come the consumer doesn't make millions</v>
      </c>
    </row>
    <row r="660" spans="1:2" x14ac:dyDescent="0.2">
      <c r="A660" s="1" t="s">
        <v>2923</v>
      </c>
      <c r="B660" s="1" t="str">
        <f ca="1">IFERROR(__xludf.DUMFUNCTION("GOOGLETRANSLATE(A702,""id"",""en"")"),"Yaa Satan, the form of Friday Night  Merem Julia Roberts Cimahi Jin owns the First Kdrama")</f>
        <v>Yaa Satan, the form of Friday Night  Merem Julia Roberts Cimahi Jin owns the First Kdrama</v>
      </c>
    </row>
    <row r="661" spans="1:2" x14ac:dyDescent="0.2">
      <c r="A661" s="1" t="s">
        <v>2924</v>
      </c>
      <c r="B661" s="1" t="str">
        <f ca="1">IFERROR(__xludf.DUMFUNCTION("GOOGLETRANSLATE(A703,""id"",""en"")"),"people need the lay subsidy of the  heck application, the cellphone does not support the conventional app.")</f>
        <v>people need the lay subsidy of the  heck application, the cellphone does not support the conventional app.</v>
      </c>
    </row>
    <row r="662" spans="1:2" x14ac:dyDescent="0.2">
      <c r="A662" s="1" t="s">
        <v>2925</v>
      </c>
      <c r="B662" s="1" t="str">
        <f ca="1">IFERROR(__xludf.DUMFUNCTION("GOOGLETRANSLATE(A704,""id"",""en"")"),"Eyelashes Falling Destiny of God Missing Friday Night  Merem Julia Roberts Cimahi Jin Owner of First Kdrama")</f>
        <v>Eyelashes Falling Destiny of God Missing Friday Night  Merem Julia Roberts Cimahi Jin Owner of First Kdrama</v>
      </c>
    </row>
    <row r="663" spans="1:2" x14ac:dyDescent="0.2">
      <c r="A663" s="1" t="s">
        <v>2926</v>
      </c>
      <c r="B663" s="1" t="str">
        <f ca="1">IFERROR(__xludf.DUMFUNCTION("GOOGLETRANSLATE(A705,""id"",""en"")"),"Press the Sandar Sandar Night Friday  Merem Julia Roberts Cimahi Jin Owner of the First Kdrama")</f>
        <v>Press the Sandar Sandar Night Friday  Merem Julia Roberts Cimahi Jin Owner of the First Kdrama</v>
      </c>
    </row>
    <row r="664" spans="1:2" x14ac:dyDescent="0.2">
      <c r="A664" s="1" t="s">
        <v>2927</v>
      </c>
      <c r="B664" s="1" t="str">
        <f ca="1">IFERROR(__xludf.DUMFUNCTION("GOOGLETRANSLATE(A706,""id"",""en"")"),"JULY BUY LIST OF PERTALITE SOLAR  Open  Application Ministry of BBMSubsidi Pertalite Solar")</f>
        <v>JULY BUY LIST OF PERTALITE SOLAR  Open  Application Ministry of BBMSubsidi Pertalite Solar</v>
      </c>
    </row>
    <row r="665" spans="1:2" x14ac:dyDescent="0.2">
      <c r="A665" s="1" t="s">
        <v>2928</v>
      </c>
      <c r="B665" s="1" t="str">
        <f ca="1">IFERROR(__xludf.DUMFUNCTION("GOOGLETRANSLATE(A707,""id"",""en"")"),"Old Country Out Divorce of Test Test Results Zonk Difficult People So MISHER ")</f>
        <v xml:space="preserve">Old Country Out Divorce of Test Test Results Zonk Difficult People So MISHER </v>
      </c>
    </row>
    <row r="666" spans="1:2" x14ac:dyDescent="0.2">
      <c r="A666" s="1" t="s">
        <v>2929</v>
      </c>
      <c r="B666" s="1" t="str">
        <f ca="1">IFERROR(__xludf.DUMFUNCTION("GOOGLETRANSLATE(A708,""id"",""en"")"),"try installing the  application confused to buy integration")</f>
        <v>try installing the  application confused to buy integration</v>
      </c>
    </row>
    <row r="667" spans="1:2" x14ac:dyDescent="0.2">
      <c r="A667" s="1" t="s">
        <v>2930</v>
      </c>
      <c r="B667" s="1" t="str">
        <f ca="1">IFERROR(__xludf.DUMFUNCTION("GOOGLETRANSLATE(A709,""id"",""en"")"),"Please stop the mechanism for buying BBM subsidized list applications  has not been")</f>
        <v>Please stop the mechanism for buying BBM subsidized list applications  has not been</v>
      </c>
    </row>
    <row r="668" spans="1:2" x14ac:dyDescent="0.2">
      <c r="A668" s="1" t="s">
        <v>2931</v>
      </c>
      <c r="B668" s="1" t="str">
        <f ca="1">IFERROR(__xludf.DUMFUNCTION("GOOGLETRANSLATE(A710,""id"",""en"")"),"Info Apk Mod  Unlimited Money")</f>
        <v>Info Apk Mod  Unlimited Money</v>
      </c>
    </row>
    <row r="669" spans="1:2" x14ac:dyDescent="0.2">
      <c r="A669" s="1" t="s">
        <v>2932</v>
      </c>
      <c r="B669" s="1" t="str">
        <f ca="1">IFERROR(__xludf.DUMFUNCTION("GOOGLETRANSLATE(A711,""id"",""en"")"),"Welcome love three nights Tahajjud Prayer Cimahi Friday Night Putin ")</f>
        <v xml:space="preserve">Welcome love three nights Tahajjud Prayer Cimahi Friday Night Putin </v>
      </c>
    </row>
    <row r="670" spans="1:2" x14ac:dyDescent="0.2">
      <c r="A670" s="1" t="s">
        <v>45</v>
      </c>
      <c r="B670" s="1" t="str">
        <f ca="1">IFERROR(__xludf.DUMFUNCTION("GOOGLETRANSLATE(A712,""id"",""en"")"),"Premium does not delete the distribution of Pertalite rang does not go up if you buy using a application")</f>
        <v>Premium does not delete the distribution of Pertalite rang does not go up if you buy using a application</v>
      </c>
    </row>
    <row r="671" spans="1:2" x14ac:dyDescent="0.2">
      <c r="A671" s="1" t="s">
        <v>2933</v>
      </c>
      <c r="B671" s="1" t="str">
        <f ca="1">IFERROR(__xludf.DUMFUNCTION("GOOGLETRANSLATE(A713,""id"",""en"")"),"open  push flash phone")</f>
        <v>open  push flash phone</v>
      </c>
    </row>
    <row r="672" spans="1:2" x14ac:dyDescent="0.2">
      <c r="A672" s="1" t="s">
        <v>2934</v>
      </c>
      <c r="B672" s="1" t="str">
        <f ca="1">IFERROR(__xludf.DUMFUNCTION("GOOGLETRANSLATE(A714,""id"",""en"")"),"prostration really help Allah the distance of the forehead of the prayer prayer mat cimahi Friday night Putin ")</f>
        <v xml:space="preserve">prostration really help Allah the distance of the forehead of the prayer prayer mat cimahi Friday night Putin </v>
      </c>
    </row>
    <row r="673" spans="1:2" x14ac:dyDescent="0.2">
      <c r="A673" s="1" t="s">
        <v>2935</v>
      </c>
      <c r="B673" s="1" t="str">
        <f ca="1">IFERROR(__xludf.DUMFUNCTION("GOOGLETRANSLATE(A715,""id"",""en"")"),"Kasi Bintang  Prison Application")</f>
        <v>Kasi Bintang  Prison Application</v>
      </c>
    </row>
    <row r="674" spans="1:2" x14ac:dyDescent="0.2">
      <c r="A674" s="1" t="s">
        <v>2936</v>
      </c>
      <c r="B674" s="1" t="str">
        <f ca="1">IFERROR(__xludf.DUMFUNCTION("GOOGLETRANSLATE(A716,""id"",""en"")"),"wise gas station using  stupid stupid  forbidding using a dangerous cellphone")</f>
        <v>wise gas station using  stupid stupid  forbidding using a dangerous cellphone</v>
      </c>
    </row>
    <row r="675" spans="1:2" x14ac:dyDescent="0.2">
      <c r="A675" s="1" t="s">
        <v>2937</v>
      </c>
      <c r="B675" s="1" t="str">
        <f ca="1">IFERROR(__xludf.DUMFUNCTION("GOOGLETRANSLATE(A717,""id"",""en"")")," fashion buy bengsin ecer bottle")</f>
        <v xml:space="preserve"> fashion buy bengsin ecer bottle</v>
      </c>
    </row>
    <row r="676" spans="1:2" x14ac:dyDescent="0.2">
      <c r="A676" s="1" t="s">
        <v>2938</v>
      </c>
      <c r="B676" s="1" t="str">
        <f ca="1">IFERROR(__xludf.DUMFUNCTION("GOOGLETRANSLATE(A718,""id"",""en"")"),"Actually, the app is not  paying using cash that is actually worried about people")</f>
        <v>Actually, the app is not  paying using cash that is actually worried about people</v>
      </c>
    </row>
    <row r="677" spans="1:2" x14ac:dyDescent="0.2">
      <c r="A677" s="1" t="s">
        <v>2939</v>
      </c>
      <c r="B677" s="1" t="str">
        <f ca="1">IFERROR(__xludf.DUMFUNCTION("GOOGLETRANSLATE(A719,""id"",""en"")"),"Sharp Mom said Ali bin Abi Talib Cimahi Cimahi Night Putin ")</f>
        <v xml:space="preserve">Sharp Mom said Ali bin Abi Talib Cimahi Cimahi Night Putin </v>
      </c>
    </row>
    <row r="678" spans="1:2" x14ac:dyDescent="0.2">
      <c r="A678" s="1" t="s">
        <v>2940</v>
      </c>
      <c r="B678" s="1" t="str">
        <f ca="1">IFERROR(__xludf.DUMFUNCTION("GOOGLETRANSLATE(A720,""id"",""en"")"),"Welkom July Happy Installing ")</f>
        <v xml:space="preserve">Welkom July Happy Installing </v>
      </c>
    </row>
    <row r="679" spans="1:2" x14ac:dyDescent="0.2">
      <c r="A679" s="1" t="s">
        <v>46</v>
      </c>
      <c r="B679" s="1" t="str">
        <f ca="1">IFERROR(__xludf.DUMFUNCTION("GOOGLETRANSLATE(A721,""id"",""en"")"),"Please see the web")</f>
        <v>Please see the web</v>
      </c>
    </row>
    <row r="680" spans="1:2" x14ac:dyDescent="0.2">
      <c r="A680" s="1" t="s">
        <v>2941</v>
      </c>
      <c r="B680" s="1" t="str">
        <f ca="1">IFERROR(__xludf.DUMFUNCTION("GOOGLETRANSLATE(A722,""id"",""en"")"),"buy fuel subsidies for  applications")</f>
        <v>buy fuel subsidies for  applications</v>
      </c>
    </row>
    <row r="681" spans="1:2" x14ac:dyDescent="0.2">
      <c r="A681" s="1" t="s">
        <v>2942</v>
      </c>
      <c r="B681" s="1" t="str">
        <f ca="1">IFERROR(__xludf.DUMFUNCTION("GOOGLETRANSLATE(A723,""id"",""en"")"),"Actually the order to release  so that the community still mocking the command to be subject to aa law aa law")</f>
        <v>Actually the order to release  so that the community still mocking the command to be subject to aa law aa law</v>
      </c>
    </row>
    <row r="682" spans="1:2" x14ac:dyDescent="0.2">
      <c r="A682" s="1" t="s">
        <v>2943</v>
      </c>
      <c r="B682" s="1" t="str">
        <f ca="1">IFERROR(__xludf.DUMFUNCTION("GOOGLETRANSLATE(A724,""id"",""en"")"),"Upset Tweetan people  gamau looking for valid info amp officially angry anyway info that is not wide where try the city of kendara tamarn non -cash using qris")</f>
        <v>Upset Tweetan people  gamau looking for valid info amp officially angry anyway info that is not wide where try the city of kendara tamarn non -cash using qris</v>
      </c>
    </row>
    <row r="683" spans="1:2" x14ac:dyDescent="0.2">
      <c r="A683" s="1" t="s">
        <v>2384</v>
      </c>
      <c r="B683" s="1" t="str">
        <f ca="1">IFERROR(__xludf.DUMFUNCTION("GOOGLETRANSLATE(A725,""id"",""en"")"),"Bandung City Government Kendara Motor uses the  application to buy Pertalite")</f>
        <v>Bandung City Government Kendara Motor uses the  application to buy Pertalite</v>
      </c>
    </row>
    <row r="684" spans="1:2" x14ac:dyDescent="0.2">
      <c r="A684" s="1" t="s">
        <v>2944</v>
      </c>
      <c r="B684" s="1" t="str">
        <f ca="1">IFERROR(__xludf.DUMFUNCTION("GOOGLETRANSLATE(A726,""id"",""en"")"),"Gas Kg Buy Using ")</f>
        <v xml:space="preserve">Gas Kg Buy Using </v>
      </c>
    </row>
    <row r="685" spans="1:2" x14ac:dyDescent="0.2">
      <c r="A685" s="1" t="s">
        <v>2945</v>
      </c>
      <c r="B685" s="1" t="str">
        <f ca="1">IFERROR(__xludf.DUMFUNCTION("GOOGLETRANSLATE(A727,""id"",""en"")"),"Marmut Ovt about the wise  which is the city of Yogyakarta, the city is only DIY wkwkwkwkwkwkwk")</f>
        <v>Marmut Ovt about the wise  which is the city of Yogyakarta, the city is only DIY wkwkwkwkwkwkwk</v>
      </c>
    </row>
    <row r="686" spans="1:2" x14ac:dyDescent="0.2">
      <c r="A686" s="1" t="s">
        <v>2735</v>
      </c>
      <c r="B686" s="1" t="str">
        <f ca="1">IFERROR(__xludf.DUMFUNCTION("GOOGLETRANSLATE(A729,""id"",""en"")"),"Moment of Love  ")</f>
        <v xml:space="preserve">Moment of Love  </v>
      </c>
    </row>
    <row r="687" spans="1:2" x14ac:dyDescent="0.2">
      <c r="A687" s="1" t="s">
        <v>2946</v>
      </c>
      <c r="B687" s="1" t="str">
        <f ca="1">IFERROR(__xludf.DUMFUNCTION("GOOGLETRANSLATE(A730,""id"",""en"")"),"Friday Night Forgot Al Kahfi Yaa Bakri Putin Thank you Juni Jordi  Bniwajibdiaudit Vito Fearless Friday Night Friday Tvn Eve")</f>
        <v>Friday Night Forgot Al Kahfi Yaa Bakri Putin Thank you Juni Jordi  Bniwajibdiaudit Vito Fearless Friday Night Friday Tvn Eve</v>
      </c>
    </row>
    <row r="688" spans="1:2" x14ac:dyDescent="0.2">
      <c r="A688" s="1" t="s">
        <v>47</v>
      </c>
      <c r="B688" s="1" t="str">
        <f ca="1">IFERROR(__xludf.DUMFUNCTION("GOOGLETRANSLATE(A731,""id"",""en"")"),"Hi friend tezaro friend, you mean to buy fuel subsidized wheels yes information to buy fuel solar subsidies pertalite wheels pay cashless cash demonstrate qr code tks gio website")</f>
        <v>Hi friend tezaro friend, you mean to buy fuel subsidized wheels yes information to buy fuel solar subsidies pertalite wheels pay cashless cash demonstrate qr code tks gio website</v>
      </c>
    </row>
    <row r="689" spans="1:2" x14ac:dyDescent="0.2">
      <c r="A689" s="1" t="s">
        <v>2947</v>
      </c>
      <c r="B689" s="1" t="str">
        <f ca="1">IFERROR(__xludf.DUMFUNCTION("GOOGLETRANSLATE(A732,""id"",""en"")"),"September Turning Jawa Buy Pertalite Using  Sindonews instead")</f>
        <v>September Turning Jawa Buy Pertalite Using  Sindonews instead</v>
      </c>
    </row>
    <row r="690" spans="1:2" x14ac:dyDescent="0.2">
      <c r="A690" s="1" t="s">
        <v>2948</v>
      </c>
      <c r="B690" s="1" t="str">
        <f ca="1">IFERROR(__xludf.DUMFUNCTION("GOOGLETRANSLATE(A733,""id"",""en"")"),"Visualization of Bengsin contents using ")</f>
        <v xml:space="preserve">Visualization of Bengsin contents using </v>
      </c>
    </row>
    <row r="691" spans="1:2" x14ac:dyDescent="0.2">
      <c r="A691" s="1" t="s">
        <v>2949</v>
      </c>
      <c r="B691" s="1" t="str">
        <f ca="1">IFERROR(__xludf.DUMFUNCTION("GOOGLETRANSLATE(A734,""id"",""en"")"),"NGA CONDUCTING FIRST PERTALITE OPEN ")</f>
        <v xml:space="preserve">NGA CONDUCTING FIRST PERTALITE OPEN </v>
      </c>
    </row>
    <row r="692" spans="1:2" x14ac:dyDescent="0.2">
      <c r="A692" s="1" t="s">
        <v>2950</v>
      </c>
      <c r="B692" s="1" t="str">
        <f ca="1">IFERROR(__xludf.DUMFUNCTION("GOOGLETRANSLATE(A735,""id"",""en"")"),"who have to buy using  pertalite just pertamax too mlz googling a lot of news portal contents kudu ne if you want to read alias can't read")</f>
        <v>who have to buy using  pertalite just pertamax too mlz googling a lot of news portal contents kudu ne if you want to read alias can't read</v>
      </c>
    </row>
    <row r="693" spans="1:2" x14ac:dyDescent="0.2">
      <c r="A693" s="1" t="s">
        <v>2951</v>
      </c>
      <c r="B693" s="1" t="str">
        <f ca="1">IFERROR(__xludf.DUMFUNCTION("GOOGLETRANSLATE(A736,""id"",""en"")"),"Lha Lapo Kudu Atek  is not hit by HAPEAN LEK Nang gas station Yoopo")</f>
        <v>Lha Lapo Kudu Atek  is not hit by HAPEAN LEK Nang gas station Yoopo</v>
      </c>
    </row>
    <row r="694" spans="1:2" x14ac:dyDescent="0.2">
      <c r="A694" s="1" t="s">
        <v>2682</v>
      </c>
      <c r="B694" s="1" t="str">
        <f ca="1">IFERROR(__xludf.DUMFUNCTION("GOOGLETRANSLATE(A737,""id"",""en"")"),"Criticism for  PB HMI is difficult for the people to get BBM")</f>
        <v>Criticism for  PB HMI is difficult for the people to get BBM</v>
      </c>
    </row>
    <row r="695" spans="1:2" x14ac:dyDescent="0.2">
      <c r="A695" s="1" t="s">
        <v>2952</v>
      </c>
      <c r="B695" s="1" t="str">
        <f ca="1">IFERROR(__xludf.DUMFUNCTION("GOOGLETRANSLATE(A738,""id"",""en"")"),"Even though your prayers are mother thousand million million, you scratches the wound of the heaven's heart belonging to the Cimahi prayer Friday night Putin ")</f>
        <v xml:space="preserve">Even though your prayers are mother thousand million million, you scratches the wound of the heaven's heart belonging to the Cimahi prayer Friday night Putin </v>
      </c>
    </row>
    <row r="696" spans="1:2" x14ac:dyDescent="0.2">
      <c r="A696" s="1" t="s">
        <v>2949</v>
      </c>
      <c r="B696" s="1" t="str">
        <f ca="1">IFERROR(__xludf.DUMFUNCTION("GOOGLETRANSLATE(A739,""id"",""en"")"),"NGA CONDUCTING FIRST PERTALITE OPEN ")</f>
        <v xml:space="preserve">NGA CONDUCTING FIRST PERTALITE OPEN </v>
      </c>
    </row>
    <row r="697" spans="1:2" x14ac:dyDescent="0.2">
      <c r="A697" s="1" t="s">
        <v>2953</v>
      </c>
      <c r="B697" s="1" t="str">
        <f ca="1">IFERROR(__xludf.DUMFUNCTION("GOOGLETRANSLATE(A740,""id"",""en"")"),"List of BBM subsidies for the car for car specialtamina")</f>
        <v>List of BBM subsidies for the car for car specialtamina</v>
      </c>
    </row>
    <row r="698" spans="1:2" x14ac:dyDescent="0.2">
      <c r="A698" s="1" t="s">
        <v>2954</v>
      </c>
      <c r="B698" s="1" t="str">
        <f ca="1">IFERROR(__xludf.DUMFUNCTION("GOOGLETRANSLATE(A742,""id"",""en"")"),"fortunately jkt yet mandatory ")</f>
        <v xml:space="preserve">fortunately jkt yet mandatory </v>
      </c>
    </row>
    <row r="699" spans="1:2" x14ac:dyDescent="0.2">
      <c r="A699" s="1" t="s">
        <v>2955</v>
      </c>
      <c r="B699" s="1" t="str">
        <f ca="1">IFERROR(__xludf.DUMFUNCTION("GOOGLETRANSLATE(A743,""id"",""en"")"),"Day people make ")</f>
        <v xml:space="preserve">Day people make </v>
      </c>
    </row>
    <row r="700" spans="1:2" x14ac:dyDescent="0.2">
      <c r="A700" s="1" t="s">
        <v>2953</v>
      </c>
      <c r="B700" s="1" t="str">
        <f ca="1">IFERROR(__xludf.DUMFUNCTION("GOOGLETRANSLATE(A744,""id"",""en"")"),"List of BBM subsidies for the car for car specialtamina")</f>
        <v>List of BBM subsidies for the car for car specialtamina</v>
      </c>
    </row>
    <row r="701" spans="1:2" x14ac:dyDescent="0.2">
      <c r="A701" s="1" t="s">
        <v>2956</v>
      </c>
      <c r="B701" s="1" t="str">
        <f ca="1">IFERROR(__xludf.DUMFUNCTION("GOOGLETRANSLATE(A745,""id"",""en"")"),"just tasty using ")</f>
        <v xml:space="preserve">just tasty using </v>
      </c>
    </row>
    <row r="702" spans="1:2" x14ac:dyDescent="0.2">
      <c r="A702" s="1" t="s">
        <v>2957</v>
      </c>
      <c r="B702" s="1" t="str">
        <f ca="1">IFERROR(__xludf.DUMFUNCTION("GOOGLETRANSLATE(A746,""id"",""en"")")," RWT")</f>
        <v xml:space="preserve"> RWT</v>
      </c>
    </row>
    <row r="703" spans="1:2" x14ac:dyDescent="0.2">
      <c r="A703" s="1" t="s">
        <v>2958</v>
      </c>
      <c r="B703" s="1" t="str">
        <f ca="1">IFERROR(__xludf.DUMFUNCTION("GOOGLETRANSLATE(A747,""id"",""en"")"),"sis if you pay for using , but you use  discount so it's cheap from paying using cash")</f>
        <v>sis if you pay for using , but you use  discount so it's cheap from paying using cash</v>
      </c>
    </row>
    <row r="704" spans="1:2" x14ac:dyDescent="0.2">
      <c r="A704" s="1" t="s">
        <v>48</v>
      </c>
      <c r="B704" s="1" t="str">
        <f ca="1">IFERROR(__xludf.DUMFUNCTION("GOOGLETRANSLATE(A748,""id"",""en"")"),"Hi buddy agum information on the BBM Subsidy Program Salur according to the permanent quota of Salang List via the Gio TKS Web")</f>
        <v>Hi buddy agum information on the BBM Subsidy Program Salur according to the permanent quota of Salang List via the Gio TKS Web</v>
      </c>
    </row>
    <row r="705" spans="1:2" x14ac:dyDescent="0.2">
      <c r="A705" s="1" t="s">
        <v>2959</v>
      </c>
      <c r="B705" s="1" t="str">
        <f ca="1">IFERROR(__xludf.DUMFUNCTION("GOOGLETRANSLATE(A749,""id"",""en"")"),"Indonesian netizens against the  Bombardir Application Review of Netizen Stars")</f>
        <v>Indonesian netizens against the  Bombardir Application Review of Netizen Stars</v>
      </c>
    </row>
    <row r="706" spans="1:2" x14ac:dyDescent="0.2">
      <c r="A706" s="1" t="s">
        <v>2625</v>
      </c>
      <c r="B706" s="1" t="str">
        <f ca="1">IFERROR(__xludf.DUMFUNCTION("GOOGLETRANSLATE(A750,""id"",""en"")"),"buy subsidized fuel using  pks state to make people bother")</f>
        <v>buy subsidized fuel using  pks state to make people bother</v>
      </c>
    </row>
    <row r="707" spans="1:2" x14ac:dyDescent="0.2">
      <c r="A707" s="1" t="s">
        <v>2960</v>
      </c>
      <c r="B707" s="1" t="str">
        <f ca="1">IFERROR(__xludf.DUMFUNCTION("GOOGLETRANSLATE(A751,""id"",""en"")"),"UAF THAT PDG has the contents of 's oil, it has been sold for  applications")</f>
        <v>UAF THAT PDG has the contents of 's oil, it has been sold for  applications</v>
      </c>
    </row>
    <row r="708" spans="1:2" x14ac:dyDescent="0.2">
      <c r="A708" s="1" t="s">
        <v>2961</v>
      </c>
      <c r="B708" s="1" t="str">
        <f ca="1">IFERROR(__xludf.DUMFUNCTION("GOOGLETRANSLATE(A752,""id"",""en"")"),"wise plan to buy fuel subsidies from Pertalite Solar LPG Kg sells in July")</f>
        <v>wise plan to buy fuel subsidies from Pertalite Solar LPG Kg sells in July</v>
      </c>
    </row>
    <row r="709" spans="1:2" x14ac:dyDescent="0.2">
      <c r="A709" s="1" t="s">
        <v>2962</v>
      </c>
      <c r="B709" s="1" t="str">
        <f ca="1">IFERROR(__xludf.DUMFUNCTION("GOOGLETRANSLATE(A753,""id"",""en"")"),"Hi buddy information Data Kendara Sila Friend Type Manual Menu Kendara Menu  application constraints Sila through DM yes tks gio")</f>
        <v>Hi buddy information Data Kendara Sila Friend Type Manual Menu Kendara Menu  application constraints Sila through DM yes tks gio</v>
      </c>
    </row>
    <row r="710" spans="1:2" x14ac:dyDescent="0.2">
      <c r="A710" s="1" t="s">
        <v>2963</v>
      </c>
      <c r="B710" s="1" t="str">
        <f ca="1">IFERROR(__xludf.DUMFUNCTION("GOOGLETRANSLATE(A754,""id"",""en"")"),"Just information is available, Jan, not blas, gawe, the application of the community response does not support the disbanding ae, you know, the developer of the developer closing the ear, not the co -criticism of the concrete criticism of the resign ae gu"&amp;"wak nang pecen ")</f>
        <v xml:space="preserve">Just information is available, Jan, not blas, gawe, the application of the community response does not support the disbanding ae, you know, the developer of the developer closing the ear, not the co -criticism of the concrete criticism of the resign ae guwak nang pecen </v>
      </c>
    </row>
    <row r="711" spans="1:2" x14ac:dyDescent="0.2">
      <c r="A711" s="1" t="s">
        <v>2964</v>
      </c>
      <c r="B711" s="1" t="str">
        <f ca="1">IFERROR(__xludf.DUMFUNCTION("GOOGLETRANSLATE(A755,""id"",""en"")"),"July ST Happy Try ")</f>
        <v xml:space="preserve">July ST Happy Try </v>
      </c>
    </row>
    <row r="712" spans="1:2" x14ac:dyDescent="0.2">
      <c r="A712" s="1" t="s">
        <v>2965</v>
      </c>
      <c r="B712" s="1" t="str">
        <f ca="1">IFERROR(__xludf.DUMFUNCTION("GOOGLETRANSLATE(A756,""id"",""en"")"),"already on July, I have installed ")</f>
        <v xml:space="preserve">already on July, I have installed </v>
      </c>
    </row>
    <row r="713" spans="1:2" x14ac:dyDescent="0.2">
      <c r="A713" s="1" t="s">
        <v>2966</v>
      </c>
      <c r="B713" s="1" t="str">
        <f ca="1">IFERROR(__xludf.DUMFUNCTION("GOOGLETRANSLATE(A757,""id"",""en"")"),"no one who is  mod application")</f>
        <v>no one who is  mod application</v>
      </c>
    </row>
    <row r="714" spans="1:2" x14ac:dyDescent="0.2">
      <c r="A714" s="1" t="s">
        <v>2967</v>
      </c>
      <c r="B714" s="1" t="str">
        <f ca="1">IFERROR(__xludf.DUMFUNCTION("GOOGLETRANSLATE(A758,""id"",""en"")"),"Husband Try to Register the  Account Fail the cellphone number, just registered, please register the account, the gas station employee when you have logged in, see the name of the account.")</f>
        <v>Husband Try to Register the  Account Fail the cellphone number, just registered, please register the account, the gas station employee when you have logged in, see the name of the account.</v>
      </c>
    </row>
    <row r="715" spans="1:2" x14ac:dyDescent="0.2">
      <c r="A715" s="1" t="s">
        <v>2968</v>
      </c>
      <c r="B715" s="1" t="str">
        <f ca="1">IFERROR(__xludf.DUMFUNCTION("GOOGLETRANSLATE(A759,""id"",""en"")")," Code Qr  for Fuel Fuel Fuel")</f>
        <v xml:space="preserve"> Code Qr  for Fuel Fuel Fuel</v>
      </c>
    </row>
    <row r="716" spans="1:2" x14ac:dyDescent="0.2">
      <c r="A716" s="1" t="s">
        <v>2969</v>
      </c>
      <c r="B716" s="1" t="str">
        <f ca="1">IFERROR(__xludf.DUMFUNCTION("GOOGLETRANSLATE(A760,""id"",""en"")"),"bear to make a  paylatter feature")</f>
        <v>bear to make a  paylatter feature</v>
      </c>
    </row>
    <row r="717" spans="1:2" x14ac:dyDescent="0.2">
      <c r="A717" s="1" t="s">
        <v>2970</v>
      </c>
      <c r="B717" s="1" t="str">
        <f ca="1">IFERROR(__xludf.DUMFUNCTION("GOOGLETRANSLATE(A761,""id"",""en"")"),"Date of the list of ")</f>
        <v xml:space="preserve">Date of the list of </v>
      </c>
    </row>
    <row r="718" spans="1:2" x14ac:dyDescent="0.2">
      <c r="A718" s="1" t="s">
        <v>2971</v>
      </c>
      <c r="B718" s="1" t="str">
        <f ca="1">IFERROR(__xludf.DUMFUNCTION("GOOGLETRANSLATE(A762,""id"",""en"")"),"The list of  already uses the regular type spacing system again")</f>
        <v>The list of  already uses the regular type spacing system again</v>
      </c>
    </row>
    <row r="719" spans="1:2" x14ac:dyDescent="0.2">
      <c r="A719" s="1" t="s">
        <v>2972</v>
      </c>
      <c r="B719" s="1" t="str">
        <f ca="1">IFERROR(__xludf.DUMFUNCTION("GOOGLETRANSLATE(A763,""id"",""en"")"),"Logic Download the  Application JT Untung APPLICATION Minimum JT people for at least the same day JT to get the RP for Rp.")</f>
        <v>Logic Download the  Application JT Untung APPLICATION Minimum JT people for at least the same day JT to get the RP for Rp.</v>
      </c>
    </row>
    <row r="720" spans="1:2" x14ac:dyDescent="0.2">
      <c r="A720" s="1" t="s">
        <v>2973</v>
      </c>
      <c r="B720" s="1" t="str">
        <f ca="1">IFERROR(__xludf.DUMFUNCTION("GOOGLETRANSLATE(A764,""id"",""en"")"),"about the  application for Huawei cellphone whose google service playstore is difficult to install using a phone clone login application solution")</f>
        <v>about the  application for Huawei cellphone whose google service playstore is difficult to install using a phone clone login application solution</v>
      </c>
    </row>
    <row r="721" spans="1:2" x14ac:dyDescent="0.2">
      <c r="A721" s="1" t="s">
        <v>2974</v>
      </c>
      <c r="B721" s="1" t="str">
        <f ca="1">IFERROR(__xludf.DUMFUNCTION("GOOGLETRANSLATE(A765,""id"",""en"")"),"I remember playing a gas station, or not, if I download , what do I do")</f>
        <v>I remember playing a gas station, or not, if I download , what do I do</v>
      </c>
    </row>
    <row r="722" spans="1:2" x14ac:dyDescent="0.2">
      <c r="A722" s="1" t="s">
        <v>49</v>
      </c>
      <c r="B722" s="1" t="str">
        <f ca="1">IFERROR(__xludf.DUMFUNCTION("GOOGLETRANSLATE(A766,""id"",""en"")"),"July Date List of the application website, but the server access is hilarious")</f>
        <v>July Date List of the application website, but the server access is hilarious</v>
      </c>
    </row>
    <row r="723" spans="1:2" x14ac:dyDescent="0.2">
      <c r="A723" s="1" t="s">
        <v>2975</v>
      </c>
      <c r="B723" s="1" t="str">
        <f ca="1">IFERROR(__xludf.DUMFUNCTION("GOOGLETRANSLATE(A767,""id"",""en"")"),"If the former city of gasoline, you have to use  and is willing")</f>
        <v>If the former city of gasoline, you have to use  and is willing</v>
      </c>
    </row>
    <row r="724" spans="1:2" x14ac:dyDescent="0.2">
      <c r="A724" s="1" t="s">
        <v>2976</v>
      </c>
      <c r="B724" s="1" t="str">
        <f ca="1">IFERROR(__xludf.DUMFUNCTION("GOOGLETRANSLATE(A768,""id"",""en"")"),"Sukabumi List  Task Buying Confused")</f>
        <v>Sukabumi List  Task Buying Confused</v>
      </c>
    </row>
    <row r="725" spans="1:2" x14ac:dyDescent="0.2">
      <c r="A725" s="1" t="s">
        <v>2977</v>
      </c>
      <c r="B725" s="1" t="str">
        <f ca="1">IFERROR(__xludf.DUMFUNCTION("GOOGLETRANSLATE(A769,""id"",""en"")")," Application Poor PlayStore Rating  Application Flood bad comments Google Playstore for Stars Gadget Application PAMINA  GE APPLICATION")</f>
        <v xml:space="preserve"> Application Poor PlayStore Rating  Application Flood bad comments Google Playstore for Stars Gadget Application PAMINA  GE APPLICATION</v>
      </c>
    </row>
    <row r="726" spans="1:2" x14ac:dyDescent="0.2">
      <c r="A726" s="1" t="s">
        <v>2978</v>
      </c>
      <c r="B726" s="1" t="str">
        <f ca="1">IFERROR(__xludf.DUMFUNCTION("GOOGLETRANSLATE(A770,""id"",""en"")"),"Shell Go vs  Jek Bag Download")</f>
        <v>Shell Go vs  Jek Bag Download</v>
      </c>
    </row>
    <row r="727" spans="1:2" x14ac:dyDescent="0.2">
      <c r="A727" s="1" t="s">
        <v>2979</v>
      </c>
      <c r="B727" s="1" t="str">
        <f ca="1">IFERROR(__xludf.DUMFUNCTION("GOOGLETRANSLATE(A771,""id"",""en"")"),"Just now, I bought pertalite difficult to promote  ha waiting for download ngko yo always mbledos pom")</f>
        <v>Just now, I bought pertalite difficult to promote  ha waiting for download ngko yo always mbledos pom</v>
      </c>
    </row>
    <row r="728" spans="1:2" x14ac:dyDescent="0.2">
      <c r="A728" s="1" t="s">
        <v>2980</v>
      </c>
      <c r="B728" s="1" t="str">
        <f ca="1">IFERROR(__xludf.DUMFUNCTION("GOOGLETRANSLATE(A772,""id"",""en"")"),"wkwkw install  is okay")</f>
        <v>wkwkw install  is okay</v>
      </c>
    </row>
    <row r="729" spans="1:2" x14ac:dyDescent="0.2">
      <c r="A729" s="1" t="s">
        <v>2981</v>
      </c>
      <c r="B729" s="1" t="str">
        <f ca="1">IFERROR(__xludf.DUMFUNCTION("GOOGLETRANSLATE(A773,""id"",""en"")"),"Rame to talk about , discuss the server, or not, the RPS is coming in")</f>
        <v>Rame to talk about , discuss the server, or not, the RPS is coming in</v>
      </c>
    </row>
    <row r="730" spans="1:2" x14ac:dyDescent="0.2">
      <c r="A730" s="1" t="s">
        <v>2982</v>
      </c>
      <c r="B730" s="1" t="str">
        <f ca="1">IFERROR(__xludf.DUMFUNCTION("GOOGLETRANSLATE(A774,""id"",""en"")"),"Mb buying gasoline, open the upholstery to hold the hose, sorry, I have to do , smiling, gbs, the order path is not able")</f>
        <v>Mb buying gasoline, open the upholstery to hold the hose, sorry, I have to do , smiling, gbs, the order path is not able</v>
      </c>
    </row>
    <row r="731" spans="1:2" x14ac:dyDescent="0.2">
      <c r="A731" s="1" t="s">
        <v>2983</v>
      </c>
      <c r="B731" s="1" t="str">
        <f ca="1">IFERROR(__xludf.DUMFUNCTION("GOOGLETRANSLATE(A775,""id"",""en"")"),"not download  sie")</f>
        <v>not download  sie</v>
      </c>
    </row>
    <row r="732" spans="1:2" x14ac:dyDescent="0.2">
      <c r="A732" s="1" t="s">
        <v>2984</v>
      </c>
      <c r="B732" s="1" t="str">
        <f ca="1">IFERROR(__xludf.DUMFUNCTION("GOOGLETRANSLATE(A776,""id"",""en"")"),"Buy fuel fuel fuel oil using the  bbm subsidized applications")</f>
        <v>Buy fuel fuel fuel oil using the  bbm subsidized applications</v>
      </c>
    </row>
    <row r="733" spans="1:2" x14ac:dyDescent="0.2">
      <c r="A733" s="1" t="s">
        <v>2985</v>
      </c>
      <c r="B733" s="1" t="str">
        <f ca="1">IFERROR(__xludf.DUMFUNCTION("GOOGLETRANSLATE(A777,""id"",""en"")")," Flood Star Review Application")</f>
        <v xml:space="preserve"> Flood Star Review Application</v>
      </c>
    </row>
    <row r="734" spans="1:2" x14ac:dyDescent="0.2">
      <c r="A734" s="1" t="s">
        <v>2986</v>
      </c>
      <c r="B734" s="1" t="str">
        <f ca="1">IFERROR(__xludf.DUMFUNCTION("GOOGLETRANSLATE(A778,""id"",""en"")"),"PT  Patra Niaga Opens the list of Kndeban Identity of the  Website July List for QR Code Buy BBM Subsidies  SPBU")</f>
        <v>PT  Patra Niaga Opens the list of Kndeban Identity of the  Website July List for QR Code Buy BBM Subsidies  SPBU</v>
      </c>
    </row>
    <row r="735" spans="1:2" x14ac:dyDescent="0.2">
      <c r="A735" s="1" t="s">
        <v>2987</v>
      </c>
      <c r="B735" s="1" t="str">
        <f ca="1">IFERROR(__xludf.DUMFUNCTION("GOOGLETRANSLATE(A779,""id"",""en"")"),"You bought pertalite using ")</f>
        <v xml:space="preserve">You bought pertalite using </v>
      </c>
    </row>
    <row r="736" spans="1:2" x14ac:dyDescent="0.2">
      <c r="A736" s="1" t="s">
        <v>2988</v>
      </c>
      <c r="B736" s="1" t="str">
        <f ca="1">IFERROR(__xludf.DUMFUNCTION("GOOGLETRANSLATE(A780,""id"",""en"")"),"really the one who must use the pertalite application must use  oil using a protected care.")</f>
        <v>really the one who must use the pertalite application must use  oil using a protected care.</v>
      </c>
    </row>
    <row r="737" spans="1:2" x14ac:dyDescent="0.2">
      <c r="A737" s="1" t="s">
        <v>2989</v>
      </c>
      <c r="B737" s="1" t="str">
        <f ca="1">IFERROR(__xludf.DUMFUNCTION("GOOGLETRANSLATE(A781,""id"",""en"")"),"Confused to buy Pertalite Solar Subsidies  see the facts")</f>
        <v>Confused to buy Pertalite Solar Subsidies  see the facts</v>
      </c>
    </row>
    <row r="738" spans="1:2" x14ac:dyDescent="0.2">
      <c r="A738" s="1" t="s">
        <v>2990</v>
      </c>
      <c r="B738" s="1" t="str">
        <f ca="1">IFERROR(__xludf.DUMFUNCTION("GOOGLETRANSLATE(A782,""id"",""en"")"),"July buy  gas station gasoline mandatory   application is of course testing the city's behavior read the full article Satuviral SatuberitasAjutaviral Beritaviral  ")</f>
        <v xml:space="preserve">July buy  gas station gasoline mandatory   application is of course testing the city's behavior read the full article Satuviral SatuberitasAjutaviral Beritaviral  </v>
      </c>
    </row>
    <row r="739" spans="1:2" x14ac:dyDescent="0.2">
      <c r="A739" s="1" t="s">
        <v>2991</v>
      </c>
      <c r="B739" s="1" t="str">
        <f ca="1">IFERROR(__xludf.DUMFUNCTION("GOOGLETRANSLATE(A783,""id"",""en"")"),"Continue efforts for the  application")</f>
        <v>Continue efforts for the  application</v>
      </c>
    </row>
    <row r="740" spans="1:2" x14ac:dyDescent="0.2">
      <c r="A740" s="1" t="s">
        <v>2992</v>
      </c>
      <c r="B740" s="1" t="str">
        <f ca="1">IFERROR(__xludf.DUMFUNCTION("GOOGLETRANSLATE(A784,""id"",""en"")"),"for a while buying pertalite  just waiting for the news of the gas station that is wise, hopefully the casualties of the  gas station business are fast insurance the gas station business")</f>
        <v>for a while buying pertalite  just waiting for the news of the gas station that is wise, hopefully the casualties of the  gas station business are fast insurance the gas station business</v>
      </c>
    </row>
    <row r="741" spans="1:2" x14ac:dyDescent="0.2">
      <c r="A741" s="1" t="s">
        <v>2993</v>
      </c>
      <c r="B741" s="1" t="str">
        <f ca="1">IFERROR(__xludf.DUMFUNCTION("GOOGLETRANSLATE(A785,""id"",""en"")")," application try to list it can't be")</f>
        <v xml:space="preserve"> application try to list it can't be</v>
      </c>
    </row>
    <row r="742" spans="1:2" x14ac:dyDescent="0.2">
      <c r="A742" s="1" t="s">
        <v>2994</v>
      </c>
      <c r="B742" s="1" t="str">
        <f ca="1">IFERROR(__xludf.DUMFUNCTION("GOOGLETRANSLATE(A786,""id"",""en"")"),"good application  asa the rating is ugly forced to make it really complicated")</f>
        <v>good application  asa the rating is ugly forced to make it really complicated</v>
      </c>
    </row>
    <row r="743" spans="1:2" x14ac:dyDescent="0.2">
      <c r="A743" s="1" t="s">
        <v>2995</v>
      </c>
      <c r="B743" s="1" t="str">
        <f ca="1">IFERROR(__xludf.DUMFUNCTION("GOOGLETRANSLATE(A787,""id"",""en"")")," considers the troubles of a difficult angkot driver")</f>
        <v xml:space="preserve"> considers the troubles of a difficult angkot driver</v>
      </c>
    </row>
    <row r="744" spans="1:2" x14ac:dyDescent="0.2">
      <c r="A744" s="1" t="s">
        <v>2665</v>
      </c>
      <c r="B744" s="1" t="str">
        <f ca="1">IFERROR(__xludf.DUMFUNCTION("GOOGLETRANSLATE(A788,""id"",""en"")"),"buy pertalite using ")</f>
        <v xml:space="preserve">buy pertalite using </v>
      </c>
    </row>
    <row r="745" spans="1:2" x14ac:dyDescent="0.2">
      <c r="A745" s="1" t="s">
        <v>2996</v>
      </c>
      <c r="B745" s="1" t="str">
        <f ca="1">IFERROR(__xludf.DUMFUNCTION("GOOGLETRANSLATE(A789,""id"",""en"")"),"Enter  gas station toilet list ")</f>
        <v xml:space="preserve">Enter  gas station toilet list </v>
      </c>
    </row>
    <row r="746" spans="1:2" x14ac:dyDescent="0.2">
      <c r="A746" s="1" t="s">
        <v>2997</v>
      </c>
      <c r="B746" s="1" t="str">
        <f ca="1">IFERROR(__xludf.DUMFUNCTION("GOOGLETRANSLATE(A790,""id"",""en"")"),"Alas  Choose the  website buying BBM Pertalite Bojonegoro PT  Persero  Patra Niaga Sub Holding Commercial Amp Trading BBMSubsidi Beritajatim  Beritamigas")</f>
        <v>Alas  Choose the  website buying BBM Pertalite Bojonegoro PT  Persero  Patra Niaga Sub Holding Commercial Amp Trading BBMSubsidi Beritajatim  Beritamigas</v>
      </c>
    </row>
    <row r="747" spans="1:2" x14ac:dyDescent="0.2">
      <c r="A747" s="1" t="s">
        <v>2998</v>
      </c>
      <c r="B747" s="1" t="str">
        <f ca="1">IFERROR(__xludf.DUMFUNCTION("GOOGLETRANSLATE(A791,""id"",""en"")"),"option to use a debit card that connects the  debit card application that supports state -owned banks who hope prospective customers who open the bank tube account")</f>
        <v>option to use a debit card that connects the  debit card application that supports state -owned banks who hope prospective customers who open the bank tube account</v>
      </c>
    </row>
    <row r="748" spans="1:2" x14ac:dyDescent="0.2">
      <c r="A748" s="1" t="s">
        <v>2999</v>
      </c>
      <c r="B748" s="1" t="str">
        <f ca="1">IFERROR(__xludf.DUMFUNCTION("GOOGLETRANSLATE(A792,""id"",""en"")"),"Linkaja automatically subscribed to the balance of balance where the balance of the sediment that is fortunate Linkaja is only Rp.")</f>
        <v>Linkaja automatically subscribed to the balance of balance where the balance of the sediment that is fortunate Linkaja is only Rp.</v>
      </c>
    </row>
    <row r="749" spans="1:2" x14ac:dyDescent="0.2">
      <c r="A749" s="1" t="s">
        <v>3000</v>
      </c>
      <c r="B749" s="1" t="str">
        <f ca="1">IFERROR(__xludf.DUMFUNCTION("GOOGLETRANSLATE(A793,""id"",""en"")"),"The Quota Application Turns Byr Bbm How What is the Byr Linkaja Debit Card option with the  application")</f>
        <v>The Quota Application Turns Byr Bbm How What is the Byr Linkaja Debit Card option with the  application</v>
      </c>
    </row>
    <row r="750" spans="1:2" x14ac:dyDescent="0.2">
      <c r="A750" s="1" t="s">
        <v>3001</v>
      </c>
      <c r="B750" s="1" t="str">
        <f ca="1">IFERROR(__xludf.DUMFUNCTION("GOOGLETRANSLATE(A794,""id"",""en"")"),"the community is obliged to apply  fuel contents for the application to be very minimal according to the cost of development")</f>
        <v>the community is obliged to apply  fuel contents for the application to be very minimal according to the cost of development</v>
      </c>
    </row>
    <row r="751" spans="1:2" x14ac:dyDescent="0.2">
      <c r="A751" s="1" t="s">
        <v>3002</v>
      </c>
      <c r="B751" s="1" t="str">
        <f ca="1">IFERROR(__xludf.DUMFUNCTION("GOOGLETRANSLATE(A795,""id"",""en"")")," Kepake like touring, I don't know the location of the Bole gas station, but the KTP is YY")</f>
        <v xml:space="preserve"> Kepake like touring, I don't know the location of the Bole gas station, but the KTP is YY</v>
      </c>
    </row>
    <row r="752" spans="1:2" x14ac:dyDescent="0.2">
      <c r="A752" s="1" t="s">
        <v>3003</v>
      </c>
      <c r="B752" s="1" t="str">
        <f ca="1">IFERROR(__xludf.DUMFUNCTION("GOOGLETRANSLATE(A796,""id"",""en"")"),"Give me valid info , see the notif that discusses the religion of the way you")</f>
        <v>Give me valid info , see the notif that discusses the religion of the way you</v>
      </c>
    </row>
    <row r="753" spans="1:2" x14ac:dyDescent="0.2">
      <c r="A753" s="1" t="s">
        <v>3004</v>
      </c>
      <c r="B753" s="1" t="str">
        <f ca="1">IFERROR(__xludf.DUMFUNCTION("GOOGLETRANSLATE(A797,""id"",""en"")"),"I don't think about  using  car pertalite, I rarely use a car.")</f>
        <v>I don't think about  using  car pertalite, I rarely use a car.</v>
      </c>
    </row>
    <row r="754" spans="1:2" x14ac:dyDescent="0.2">
      <c r="A754" s="1" t="s">
        <v>3005</v>
      </c>
      <c r="B754" s="1" t="str">
        <f ca="1">IFERROR(__xludf.DUMFUNCTION("GOOGLETRANSLATE(A798,""id"",""en"")"),"apps  amp link")</f>
        <v>apps  amp link</v>
      </c>
    </row>
    <row r="755" spans="1:2" x14ac:dyDescent="0.2">
      <c r="A755" s="1" t="s">
        <v>3006</v>
      </c>
      <c r="B755" s="1" t="str">
        <f ca="1">IFERROR(__xludf.DUMFUNCTION("GOOGLETRANSLATE(A799,""id"",""en"")"),"Stupid Contradiction  Adjusting Gasoline Hp Gas Station Facts forbidding Hp Gawai Vulnerable Explumbers Already Write Gas Station forbids Forbidden to Forbid Hilarious Jokes")</f>
        <v>Stupid Contradiction  Adjusting Gasoline Hp Gas Station Facts forbidding Hp Gawai Vulnerable Explumbers Already Write Gas Station forbids Forbidden to Forbid Hilarious Jokes</v>
      </c>
    </row>
    <row r="756" spans="1:2" x14ac:dyDescent="0.2">
      <c r="A756" s="1" t="s">
        <v>2535</v>
      </c>
      <c r="B756" s="1" t="str">
        <f ca="1">IFERROR(__xludf.DUMFUNCTION("GOOGLETRANSLATE(A800,""id"",""en"")"),"Met Juli forgot the download of  natural gasoline")</f>
        <v>Met Juli forgot the download of  natural gasoline</v>
      </c>
    </row>
    <row r="757" spans="1:2" x14ac:dyDescent="0.2">
      <c r="A757" s="1" t="s">
        <v>3007</v>
      </c>
      <c r="B757" s="1" t="str">
        <f ca="1">IFERROR(__xludf.DUMFUNCTION("GOOGLETRANSLATE(A801,""id"",""en"")"),"already list  gk")</f>
        <v>already list  gk</v>
      </c>
    </row>
    <row r="758" spans="1:2" x14ac:dyDescent="0.2">
      <c r="A758" s="1" t="s">
        <v>3008</v>
      </c>
      <c r="B758" s="1" t="str">
        <f ca="1">IFERROR(__xludf.DUMFUNCTION("GOOGLETRANSLATE(A803,""id"",""en"")"),"send shopeepaythr let's take the transferpakaisishopeepay gratistan. ")</f>
        <v xml:space="preserve">send shopeepaythr let's take the transferpakaisishopeepay gratistan. </v>
      </c>
    </row>
    <row r="759" spans="1:2" x14ac:dyDescent="0.2">
      <c r="A759" s="1" t="s">
        <v>3009</v>
      </c>
      <c r="B759" s="1" t="str">
        <f ca="1">IFERROR(__xludf.DUMFUNCTION("GOOGLETRANSLATE(A804,""id"",""en"")"),"Dunno Sing LG Rame Ng Socmed Ki Nyong Date July Tuku Gasoline Nganggo App  Mung Jogo Ae Sih Mbangane Ngko Pas Gas Station Complete Durung Profile")</f>
        <v>Dunno Sing LG Rame Ng Socmed Ki Nyong Date July Tuku Gasoline Nganggo App  Mung Jogo Ae Sih Mbangane Ngko Pas Gas Station Complete Durung Profile</v>
      </c>
    </row>
    <row r="760" spans="1:2" x14ac:dyDescent="0.2">
      <c r="A760" s="1" t="s">
        <v>3010</v>
      </c>
      <c r="B760" s="1" t="str">
        <f ca="1">IFERROR(__xludf.DUMFUNCTION("GOOGLETRANSLATE(A805,""id"",""en"")"),"OpenFollow ")</f>
        <v xml:space="preserve">OpenFollow </v>
      </c>
    </row>
    <row r="761" spans="1:2" x14ac:dyDescent="0.2">
      <c r="A761" s="1" t="s">
        <v>2982</v>
      </c>
      <c r="B761" s="1" t="str">
        <f ca="1">IFERROR(__xludf.DUMFUNCTION("GOOGLETRANSLATE(A806,""id"",""en"")"),"Mb buying gasoline, open the upholstery to hold the hose, sorry, I have to do , smiling, gbs, the order path is not able")</f>
        <v>Mb buying gasoline, open the upholstery to hold the hose, sorry, I have to do , smiling, gbs, the order path is not able</v>
      </c>
    </row>
    <row r="762" spans="1:2" x14ac:dyDescent="0.2">
      <c r="A762" s="1" t="s">
        <v>3011</v>
      </c>
      <c r="B762" s="1" t="str">
        <f ca="1">IFERROR(__xludf.DUMFUNCTION("GOOGLETRANSLATE(A807,""id"",""en"")"),"Send ShopeEPAYTHR Come on, take it after sending Shopeepaythr TransferPakaishopeepay  Adel Night Cimahi Pertalite Pertalite  Thrshopee SPBU")</f>
        <v>Send ShopeEPAYTHR Come on, take it after sending Shopeepaythr TransferPakaishopeepay  Adel Night Cimahi Pertalite Pertalite  Thrshopee SPBU</v>
      </c>
    </row>
    <row r="763" spans="1:2" x14ac:dyDescent="0.2">
      <c r="A763" s="1" t="s">
        <v>3012</v>
      </c>
      <c r="B763" s="1" t="str">
        <f ca="1">IFERROR(__xludf.DUMFUNCTION("GOOGLETRANSLATE(A808,""id"",""en"")"),"Download  Buy Pertalite Kasih Star Rough Friends")</f>
        <v>Download  Buy Pertalite Kasih Star Rough Friends</v>
      </c>
    </row>
    <row r="764" spans="1:2" x14ac:dyDescent="0.2">
      <c r="A764" s="1" t="s">
        <v>3013</v>
      </c>
      <c r="B764" s="1" t="str">
        <f ca="1">IFERROR(__xludf.DUMFUNCTION("GOOGLETRANSLATE(A809,""id"",""en"")"),"wkwkwk don't forget ")</f>
        <v xml:space="preserve">wkwkwk don't forget </v>
      </c>
    </row>
    <row r="765" spans="1:2" x14ac:dyDescent="0.2">
      <c r="A765" s="1" t="s">
        <v>3014</v>
      </c>
      <c r="B765" s="1" t="str">
        <f ca="1">IFERROR(__xludf.DUMFUNCTION("GOOGLETRANSLATE(A810,""id"",""en"")"),"Like Jokowi uses ")</f>
        <v xml:space="preserve">Like Jokowi uses </v>
      </c>
    </row>
    <row r="766" spans="1:2" x14ac:dyDescent="0.2">
      <c r="A766" s="1" t="s">
        <v>3015</v>
      </c>
      <c r="B766" s="1" t="str">
        <f ca="1">IFERROR(__xludf.DUMFUNCTION("GOOGLETRANSLATE(A811,""id"",""en"")"),"mna the scene to open the  ny application")</f>
        <v>mna the scene to open the  ny application</v>
      </c>
    </row>
    <row r="767" spans="1:2" x14ac:dyDescent="0.2">
      <c r="A767" s="1" t="s">
        <v>3016</v>
      </c>
      <c r="B767" s="1" t="str">
        <f ca="1">IFERROR(__xludf.DUMFUNCTION("GOOGLETRANSLATE(A812,""id"",""en"")"),"The complicated Indonesia list of  pays but said it can use buying petralite gasoline but list the site, download the developer, it's just like the risma, it's not angry, try it")</f>
        <v>The complicated Indonesia list of  pays but said it can use buying petralite gasoline but list the site, download the developer, it's just like the risma, it's not angry, try it</v>
      </c>
    </row>
    <row r="768" spans="1:2" x14ac:dyDescent="0.2">
      <c r="A768" s="1" t="s">
        <v>3017</v>
      </c>
      <c r="B768" s="1" t="str">
        <f ca="1">IFERROR(__xludf.DUMFUNCTION("GOOGLETRANSLATE(A813,""id"",""en"")"),"Read the IG  is not the distance between the gas station")</f>
        <v>Read the IG  is not the distance between the gas station</v>
      </c>
    </row>
    <row r="769" spans="1:2" x14ac:dyDescent="0.2">
      <c r="A769" s="1" t="s">
        <v>50</v>
      </c>
      <c r="B769" s="1" t="str">
        <f ca="1">IFERROR(__xludf.DUMFUNCTION("GOOGLETRANSLATE(A814,""id"",""en"")"),"The legislator is silent the mute people of the people of the people who are independent of the people")</f>
        <v>The legislator is silent the mute people of the people of the people who are independent of the people</v>
      </c>
    </row>
    <row r="770" spans="1:2" x14ac:dyDescent="0.2">
      <c r="A770" s="1" t="s">
        <v>3018</v>
      </c>
      <c r="B770" s="1" t="str">
        <f ca="1">IFERROR(__xludf.DUMFUNCTION("GOOGLETRANSLATE(A815,""id"",""en"")")," is wise to buy a solar pertalite using its complicated application")</f>
        <v xml:space="preserve"> is wise to buy a solar pertalite using its complicated application</v>
      </c>
    </row>
    <row r="771" spans="1:2" x14ac:dyDescent="0.2">
      <c r="A771" s="1" t="s">
        <v>3019</v>
      </c>
      <c r="B771" s="1" t="str">
        <f ca="1">IFERROR(__xludf.DUMFUNCTION("GOOGLETRANSLATE(A816,""id"",""en"")"),"forgot to install  kaka")</f>
        <v>forgot to install  kaka</v>
      </c>
    </row>
    <row r="772" spans="1:2" x14ac:dyDescent="0.2">
      <c r="A772" s="1" t="s">
        <v>3020</v>
      </c>
      <c r="B772" s="1" t="str">
        <f ca="1">IFERROR(__xludf.DUMFUNCTION("GOOGLETRANSLATE(A817,""id"",""en"")"),"Forgot to love the Apk  Star Rejects APPLICATIONS UP REGULATE APPLICATIONS ")</f>
        <v xml:space="preserve">Forgot to love the Apk  Star Rejects APPLICATIONS UP REGULATE APPLICATIONS </v>
      </c>
    </row>
    <row r="773" spans="1:2" x14ac:dyDescent="0.2">
      <c r="A773" s="1" t="s">
        <v>3021</v>
      </c>
      <c r="B773" s="1" t="str">
        <f ca="1">IFERROR(__xludf.DUMFUNCTION("GOOGLETRANSLATE(A818,""id"",""en"")"),"seblak dry sis ")</f>
        <v xml:space="preserve">seblak dry sis </v>
      </c>
    </row>
    <row r="774" spans="1:2" x14ac:dyDescent="0.2">
      <c r="A774" s="1" t="s">
        <v>3022</v>
      </c>
      <c r="B774" s="1" t="str">
        <f ca="1">IFERROR(__xludf.DUMFUNCTION("GOOGLETRANSLATE(A819,""id"",""en"")"),"JULY SPBU TAM NA INDONESIA ")</f>
        <v xml:space="preserve">JULY SPBU TAM NA INDONESIA </v>
      </c>
    </row>
    <row r="775" spans="1:2" x14ac:dyDescent="0.2">
      <c r="A775" s="1" t="s">
        <v>51</v>
      </c>
      <c r="B775" s="1" t="str">
        <f ca="1">IFERROR(__xludf.DUMFUNCTION("GOOGLETRANSLATE(A820,""id"",""en"")"),"people entering Golong rich in total consumption of subsidized fuel consumption")</f>
        <v>people entering Golong rich in total consumption of subsidized fuel consumption</v>
      </c>
    </row>
    <row r="776" spans="1:2" x14ac:dyDescent="0.2">
      <c r="A776" s="1" t="s">
        <v>2855</v>
      </c>
      <c r="B776" s="1" t="str">
        <f ca="1">IFERROR(__xludf.DUMFUNCTION("GOOGLETRANSLATE(A821,""id"",""en"")"),"Hiswana Migas  Data Value Accurate BBM Data")</f>
        <v>Hiswana Migas  Data Value Accurate BBM Data</v>
      </c>
    </row>
    <row r="777" spans="1:2" x14ac:dyDescent="0.2">
      <c r="A777" s="1" t="s">
        <v>3023</v>
      </c>
      <c r="B777" s="1" t="str">
        <f ca="1">IFERROR(__xludf.DUMFUNCTION("GOOGLETRANSLATE(A822,""id"",""en"")"),"the mandatory region to register  to buy a solar pertalite")</f>
        <v>the mandatory region to register  to buy a solar pertalite</v>
      </c>
    </row>
    <row r="778" spans="1:2" x14ac:dyDescent="0.2">
      <c r="A778" s="1" t="s">
        <v>3024</v>
      </c>
      <c r="B778" s="1" t="str">
        <f ca="1">IFERROR(__xludf.DUMFUNCTION("GOOGLETRANSLATE(A823,""id"",""en"")"),"Tomorrow is shot ")</f>
        <v xml:space="preserve">Tomorrow is shot </v>
      </c>
    </row>
    <row r="779" spans="1:2" x14ac:dyDescent="0.2">
      <c r="A779" s="1" t="s">
        <v>3025</v>
      </c>
      <c r="B779" s="1" t="str">
        <f ca="1">IFERROR(__xludf.DUMFUNCTION("GOOGLETRANSLATE(A825,""id"",""en"")"),"loh until misunderstanding yoo really carefully here is  info")</f>
        <v>loh until misunderstanding yoo really carefully here is  info</v>
      </c>
    </row>
    <row r="780" spans="1:2" x14ac:dyDescent="0.2">
      <c r="A780" s="1" t="s">
        <v>52</v>
      </c>
      <c r="B780" s="1" t="str">
        <f ca="1">IFERROR(__xludf.DUMFUNCTION("GOOGLETRANSLATE(A826,""id"",""en"")"),"Member of the House of Representatives Commission VI RI Faction Nasdem Brother Rudi Hartono Build Wisely Buy Bbm Jeni")</f>
        <v>Member of the House of Representatives Commission VI RI Faction Nasdem Brother Rudi Hartono Build Wisely Buy Bbm Jeni</v>
      </c>
    </row>
    <row r="781" spans="1:2" x14ac:dyDescent="0.2">
      <c r="A781" s="1" t="s">
        <v>3026</v>
      </c>
      <c r="B781" s="1" t="str">
        <f ca="1">IFERROR(__xludf.DUMFUNCTION("GOOGLETRANSLATE(A827,""id"",""en"")"),"The wrong order of the strategy of the cave, don't immediately hurry to use  but look for the subscribers to give MCM cashback promos then pay the contents of the balance using the virtual account using a bay of the bay that uses the applicatio"&amp;"n that uses the application")</f>
        <v>The wrong order of the strategy of the cave, don't immediately hurry to use  but look for the subscribers to give MCM cashback promos then pay the contents of the balance using the virtual account using a bay of the bay that uses the application that uses the application</v>
      </c>
    </row>
    <row r="782" spans="1:2" x14ac:dyDescent="0.2">
      <c r="A782" s="1" t="s">
        <v>3027</v>
      </c>
      <c r="B782" s="1" t="str">
        <f ca="1">IFERROR(__xludf.DUMFUNCTION("GOOGLETRANSLATE(A828,""id"",""en"")")," Star")</f>
        <v xml:space="preserve"> Star</v>
      </c>
    </row>
    <row r="783" spans="1:2" x14ac:dyDescent="0.2">
      <c r="A783" s="1" t="s">
        <v>3028</v>
      </c>
      <c r="B783" s="1" t="str">
        <f ca="1">IFERROR(__xludf.DUMFUNCTION("GOOGLETRANSLATE(A829,""id"",""en"")"),"buy dawet list ")</f>
        <v xml:space="preserve">buy dawet list </v>
      </c>
    </row>
    <row r="784" spans="1:2" x14ac:dyDescent="0.2">
      <c r="A784" s="1" t="s">
        <v>3029</v>
      </c>
      <c r="B784" s="1" t="str">
        <f ca="1">IFERROR(__xludf.DUMFUNCTION("GOOGLETRANSLATE(A830,""id"",""en"")"),"I was so  now, the gas station was not available, the task was not to accept, paying for , the device was not like it, I had changed")</f>
        <v>I was so  now, the gas station was not available, the task was not to accept, paying for , the device was not like it, I had changed</v>
      </c>
    </row>
    <row r="785" spans="1:2" x14ac:dyDescent="0.2">
      <c r="A785" s="1" t="s">
        <v>3030</v>
      </c>
      <c r="B785" s="1" t="str">
        <f ca="1">IFERROR(__xludf.DUMFUNCTION("GOOGLETRANSLATE(A831,""id"",""en"")"),"list of fuel subsidies for the special  website bbmsubsidi business Denpasar Special Econo  National List of Website Subsidies")</f>
        <v>list of fuel subsidies for the special  website bbmsubsidi business Denpasar Special Econo  National List of Website Subsidies</v>
      </c>
    </row>
    <row r="786" spans="1:2" x14ac:dyDescent="0.2">
      <c r="A786" s="1" t="s">
        <v>3031</v>
      </c>
      <c r="B786" s="1" t="str">
        <f ca="1">IFERROR(__xludf.DUMFUNCTION("GOOGLETRANSLATE(A832,""id"",""en"")"),"who stayed up late list of ")</f>
        <v xml:space="preserve">who stayed up late list of </v>
      </c>
    </row>
    <row r="787" spans="1:2" x14ac:dyDescent="0.2">
      <c r="A787" s="1" t="s">
        <v>3032</v>
      </c>
      <c r="B787" s="1" t="str">
        <f ca="1">IFERROR(__xludf.DUMFUNCTION("GOOGLETRANSLATE(A833,""id"",""en"")")," Try a lot of promos ky buy literal litas free gas stations and keep the toilet")</f>
        <v xml:space="preserve"> Try a lot of promos ky buy literal litas free gas stations and keep the toilet</v>
      </c>
    </row>
    <row r="788" spans="1:2" x14ac:dyDescent="0.2">
      <c r="A788" s="1" t="s">
        <v>3033</v>
      </c>
      <c r="B788" s="1" t="str">
        <f ca="1">IFERROR(__xludf.DUMFUNCTION("GOOGLETRANSLATE(A834,""id"",""en"")"),"people find it hard to talk to ")</f>
        <v xml:space="preserve">people find it hard to talk to </v>
      </c>
    </row>
    <row r="789" spans="1:2" x14ac:dyDescent="0.2">
      <c r="A789" s="1" t="s">
        <v>2872</v>
      </c>
      <c r="B789" s="1" t="str">
        <f ca="1">IFERROR(__xludf.DUMFUNCTION("GOOGLETRANSLATE(A835,""id"",""en"")"),"Sasar Salasi July  Open the list of  websites, guys")</f>
        <v>Sasar Salasi July  Open the list of  websites, guys</v>
      </c>
    </row>
    <row r="790" spans="1:2" x14ac:dyDescent="0.2">
      <c r="A790" s="1" t="s">
        <v>2866</v>
      </c>
      <c r="B790" s="1" t="str">
        <f ca="1">IFERROR(__xludf.DUMFUNCTION("GOOGLETRANSLATE(A836,""id"",""en"")"),"For your info on Sasar July, , open the list of  websites")</f>
        <v>For your info on Sasar July, , open the list of  websites</v>
      </c>
    </row>
    <row r="791" spans="1:2" x14ac:dyDescent="0.2">
      <c r="A791" s="1" t="s">
        <v>2854</v>
      </c>
      <c r="B791" s="1" t="str">
        <f ca="1">IFERROR(__xludf.DUMFUNCTION("GOOGLETRANSLATE(A837,""id"",""en"")"),"Sasar Salasi July  Open the list of  websites, it is really mandatory")</f>
        <v>Sasar Salasi July  Open the list of  websites, it is really mandatory</v>
      </c>
    </row>
    <row r="792" spans="1:2" x14ac:dyDescent="0.2">
      <c r="A792" s="1" t="s">
        <v>3034</v>
      </c>
      <c r="B792" s="1" t="str">
        <f ca="1">IFERROR(__xludf.DUMFUNCTION("GOOGLETRANSLATE(A838,""id"",""en"")"),"Buy Pertalite Solar List  July Needs")</f>
        <v>Buy Pertalite Solar List  July Needs</v>
      </c>
    </row>
    <row r="793" spans="1:2" x14ac:dyDescent="0.2">
      <c r="A793" s="1" t="s">
        <v>2858</v>
      </c>
      <c r="B793" s="1" t="str">
        <f ca="1">IFERROR(__xludf.DUMFUNCTION("GOOGLETRANSLATE(A839,""id"",""en"")"),"Already know the Sasar July Subsidy Bomb  Open the list of the  website directly list")</f>
        <v>Already know the Sasar July Subsidy Bomb  Open the list of the  website directly list</v>
      </c>
    </row>
    <row r="794" spans="1:2" x14ac:dyDescent="0.2">
      <c r="A794" s="1" t="s">
        <v>2865</v>
      </c>
      <c r="B794" s="1" t="str">
        <f ca="1">IFERROR(__xludf.DUMFUNCTION("GOOGLETRANSLATE(A840,""id"",""en"")"),"I really support the Sasar July subsidy  open the list of  websites")</f>
        <v>I really support the Sasar July subsidy  open the list of  websites</v>
      </c>
    </row>
    <row r="795" spans="1:2" x14ac:dyDescent="0.2">
      <c r="A795" s="1" t="s">
        <v>3035</v>
      </c>
      <c r="B795" s="1" t="str">
        <f ca="1">IFERROR(__xludf.DUMFUNCTION("GOOGLETRANSLATE(A841,""id"",""en"")")," Mechanisms for the list of  websites.")</f>
        <v xml:space="preserve"> Mechanisms for the list of  websites.</v>
      </c>
    </row>
    <row r="796" spans="1:2" x14ac:dyDescent="0.2">
      <c r="A796" s="1" t="s">
        <v>3036</v>
      </c>
      <c r="B796" s="1" t="str">
        <f ca="1">IFERROR(__xludf.DUMFUNCTION("GOOGLETRANSLATE(A842,""id"",""en"")")," application is easy")</f>
        <v xml:space="preserve"> application is easy</v>
      </c>
    </row>
    <row r="797" spans="1:2" x14ac:dyDescent="0.2">
      <c r="A797" s="1" t="s">
        <v>2861</v>
      </c>
      <c r="B797" s="1" t="str">
        <f ca="1">IFERROR(__xludf.DUMFUNCTION("GOOGLETRANSLATE(A843,""id"",""en"")"),"ayoo list of Sasar July subsidies  Open the list of  websites")</f>
        <v>ayoo list of Sasar July subsidies  Open the list of  websites</v>
      </c>
    </row>
    <row r="798" spans="1:2" x14ac:dyDescent="0.2">
      <c r="A798" s="1" t="s">
        <v>3037</v>
      </c>
      <c r="B798" s="1" t="str">
        <f ca="1">IFERROR(__xludf.DUMFUNCTION("GOOGLETRANSLATE(A844,""id"",""en"")"),"play via , I want to understand")</f>
        <v>play via , I want to understand</v>
      </c>
    </row>
    <row r="799" spans="1:2" x14ac:dyDescent="0.2">
      <c r="A799" s="1" t="s">
        <v>3038</v>
      </c>
      <c r="B799" s="1" t="str">
        <f ca="1">IFERROR(__xludf.DUMFUNCTION("GOOGLETRANSLATE(A845,""id"",""en"")")," Pertalite Gas LPG is added to the people adding to the people")</f>
        <v xml:space="preserve"> Pertalite Gas LPG is added to the people adding to the people</v>
      </c>
    </row>
    <row r="800" spans="1:2" x14ac:dyDescent="0.2">
      <c r="A800" s="1" t="s">
        <v>3039</v>
      </c>
      <c r="B800" s="1" t="str">
        <f ca="1">IFERROR(__xludf.DUMFUNCTION("GOOGLETRANSLATE(A846,""id"",""en"")"),"Rang people don't read the news this time, the list is not using  list")</f>
        <v>Rang people don't read the news this time, the list is not using  list</v>
      </c>
    </row>
    <row r="801" spans="1:2" x14ac:dyDescent="0.2">
      <c r="A801" s="1" t="s">
        <v>3040</v>
      </c>
      <c r="B801" s="1" t="str">
        <f ca="1">IFERROR(__xludf.DUMFUNCTION("GOOGLETRANSLATE(A847,""id"",""en"")"),"Sasar Salasi July  Open List of 's Website Steps")</f>
        <v>Sasar Salasi July  Open List of 's Website Steps</v>
      </c>
    </row>
    <row r="802" spans="1:2" x14ac:dyDescent="0.2">
      <c r="A802" s="1" t="s">
        <v>3041</v>
      </c>
      <c r="B802" s="1" t="str">
        <f ca="1">IFERROR(__xludf.DUMFUNCTION("GOOGLETRANSLATE(A848,""id"",""en"")"),"the gas station is near the house, sir tomorrow, buy pertalite amp list, pay using , not paying money using money")</f>
        <v>the gas station is near the house, sir tomorrow, buy pertalite amp list, pay using , not paying money using money</v>
      </c>
    </row>
    <row r="803" spans="1:2" x14ac:dyDescent="0.2">
      <c r="A803" s="1" t="s">
        <v>3042</v>
      </c>
      <c r="B803" s="1" t="str">
        <f ca="1">IFERROR(__xludf.DUMFUNCTION("GOOGLETRANSLATE(A849,""id"",""en"")"),"FYI SUBSIDI SASAR SUBSIDI  OPEN THE  WEBSITE LIST OF YGY LIST")</f>
        <v>FYI SUBSIDI SASAR SUBSIDI  OPEN THE  WEBSITE LIST OF YGY LIST</v>
      </c>
    </row>
    <row r="804" spans="1:2" x14ac:dyDescent="0.2">
      <c r="A804" s="1" t="s">
        <v>2852</v>
      </c>
      <c r="B804" s="1" t="str">
        <f ca="1">IFERROR(__xludf.DUMFUNCTION("GOOGLETRANSLATE(A850,""id"",""en"")"),"Sasar Salasi July  Open a list of Practical Effective  websites")</f>
        <v>Sasar Salasi July  Open a list of Practical Effective  websites</v>
      </c>
    </row>
    <row r="805" spans="1:2" x14ac:dyDescent="0.2">
      <c r="A805" s="1" t="s">
        <v>3043</v>
      </c>
      <c r="B805" s="1" t="str">
        <f ca="1">IFERROR(__xludf.DUMFUNCTION("GOOGLETRANSLATE(A851,""id"",""en"")")," reason for promotions to force read the link linkaja")</f>
        <v xml:space="preserve"> reason for promotions to force read the link linkaja</v>
      </c>
    </row>
    <row r="806" spans="1:2" x14ac:dyDescent="0.2">
      <c r="A806" s="1" t="s">
        <v>3044</v>
      </c>
      <c r="B806" s="1" t="str">
        <f ca="1">IFERROR(__xludf.DUMFUNCTION("GOOGLETRANSLATE(A852,""id"",""en"")"),"good bang healthy ud install  yet")</f>
        <v>good bang healthy ud install  yet</v>
      </c>
    </row>
    <row r="807" spans="1:2" x14ac:dyDescent="0.2">
      <c r="A807" s="1" t="s">
        <v>3045</v>
      </c>
      <c r="B807" s="1" t="str">
        <f ca="1">IFERROR(__xludf.DUMFUNCTION("GOOGLETRANSLATE(A853,""id"",""en"")")," Mechanisms for the list of  websites aimed at the protection of the energy subsidy rights of the vulnerable to ")</f>
        <v xml:space="preserve"> Mechanisms for the list of  websites aimed at the protection of the energy subsidy rights of the vulnerable to </v>
      </c>
    </row>
    <row r="808" spans="1:2" x14ac:dyDescent="0.2">
      <c r="A808" s="1" t="s">
        <v>3046</v>
      </c>
      <c r="B808" s="1" t="str">
        <f ca="1">IFERROR(__xludf.DUMFUNCTION("GOOGLETRANSLATE(A854,""id"",""en"")"),"List of  Applications Read Info Gaes July BBM Limits SUBSIDI OPEN ENERGIZINGYOU ENERGIZINGYOURFUTURE")</f>
        <v>List of  Applications Read Info Gaes July BBM Limits SUBSIDI OPEN ENERGIZINGYOU ENERGIZINGYOURFUTURE</v>
      </c>
    </row>
    <row r="809" spans="1:2" x14ac:dyDescent="0.2">
      <c r="A809" s="1" t="s">
        <v>956</v>
      </c>
      <c r="B809" s="1" t="str">
        <f ca="1">IFERROR(__xludf.DUMFUNCTION("GOOGLETRANSLATE(A855,""id"",""en"")"),"General Special Roda For Pertalite Solar  Efforts to Saying both the community for the right to buy fuel subsidies for the list of  for Indonesia")</f>
        <v>General Special Roda For Pertalite Solar  Efforts to Saying both the community for the right to buy fuel subsidies for the list of  for Indonesia</v>
      </c>
    </row>
    <row r="810" spans="1:2" x14ac:dyDescent="0.2">
      <c r="A810" s="1" t="s">
        <v>3047</v>
      </c>
      <c r="B810" s="1" t="str">
        <f ca="1">IFERROR(__xludf.DUMFUNCTION("GOOGLETRANSLATE(A856,""id"",""en"")"),"list of fuel subsidies for  websites specifically Sindonews rang")</f>
        <v>list of fuel subsidies for  websites specifically Sindonews rang</v>
      </c>
    </row>
    <row r="811" spans="1:2" x14ac:dyDescent="0.2">
      <c r="A811" s="1" t="s">
        <v>3048</v>
      </c>
      <c r="B811" s="1" t="str">
        <f ca="1">IFERROR(__xludf.DUMFUNCTION("GOOGLETRANSLATE(A857,""id"",""en"")"),"who uses Pertamax Turbo Install  or not")</f>
        <v>who uses Pertamax Turbo Install  or not</v>
      </c>
    </row>
    <row r="812" spans="1:2" x14ac:dyDescent="0.2">
      <c r="A812" s="1" t="s">
        <v>3047</v>
      </c>
      <c r="B812" s="1" t="str">
        <f ca="1">IFERROR(__xludf.DUMFUNCTION("GOOGLETRANSLATE(A858,""id"",""en"")"),"list of fuel subsidies for  websites specifically Sindonews rang")</f>
        <v>list of fuel subsidies for  websites specifically Sindonews rang</v>
      </c>
    </row>
    <row r="813" spans="1:2" x14ac:dyDescent="0.2">
      <c r="A813" s="1" t="s">
        <v>3049</v>
      </c>
      <c r="B813" s="1" t="str">
        <f ca="1">IFERROR(__xludf.DUMFUNCTION("GOOGLETRANSLATE(A859,""id"",""en"")"),"no make the petition canceled you have to make  filled with gasoline if it's already shared hehe")</f>
        <v>no make the petition canceled you have to make  filled with gasoline if it's already shared hehe</v>
      </c>
    </row>
    <row r="814" spans="1:2" x14ac:dyDescent="0.2">
      <c r="A814" s="1" t="s">
        <v>3050</v>
      </c>
      <c r="B814" s="1" t="str">
        <f ca="1">IFERROR(__xludf.DUMFUNCTION("GOOGLETRANSLATE(A860,""id"",""en"")"),"don't worry about your friends open  list")</f>
        <v>don't worry about your friends open  list</v>
      </c>
    </row>
    <row r="815" spans="1:2" x14ac:dyDescent="0.2">
      <c r="A815" s="1" t="s">
        <v>3051</v>
      </c>
      <c r="B815" s="1" t="str">
        <f ca="1">IFERROR(__xludf.DUMFUNCTION("GOOGLETRANSLATE(A861,""id"",""en"")"),"HAHAHHAANJING GTA KUDU DONLOT ")</f>
        <v xml:space="preserve">HAHAHHAANJING GTA KUDU DONLOT </v>
      </c>
    </row>
    <row r="816" spans="1:2" x14ac:dyDescent="0.2">
      <c r="A816" s="1" t="s">
        <v>3052</v>
      </c>
      <c r="B816" s="1" t="str">
        <f ca="1">IFERROR(__xludf.DUMFUNCTION("GOOGLETRANSLATE(A862,""id"",""en"")"),"if playing a cellphone, buy gasoline, it's not dangerous but if you buy gasoline the danger of the cellphone signal is already a friend and gasoline is used to open the  application")</f>
        <v>if playing a cellphone, buy gasoline, it's not dangerous but if you buy gasoline the danger of the cellphone signal is already a friend and gasoline is used to open the  application</v>
      </c>
    </row>
    <row r="817" spans="1:2" x14ac:dyDescent="0.2">
      <c r="A817" s="1" t="s">
        <v>3053</v>
      </c>
      <c r="B817" s="1" t="str">
        <f ca="1">IFERROR(__xludf.DUMFUNCTION("GOOGLETRANSLATE(A863,""id"",""en"")"),"Buy Pertalite SPBU Needs the  Application aka Rudet Karu Mang Angkot Application Jeung Driver Just Driver Na Mangots Cars over CC Larang Pertalite")</f>
        <v>Buy Pertalite SPBU Needs the  Application aka Rudet Karu Mang Angkot Application Jeung Driver Just Driver Na Mangots Cars over CC Larang Pertalite</v>
      </c>
    </row>
    <row r="818" spans="1:2" x14ac:dyDescent="0.2">
      <c r="A818" s="1" t="s">
        <v>3054</v>
      </c>
      <c r="B818" s="1" t="str">
        <f ca="1">IFERROR(__xludf.DUMFUNCTION("GOOGLETRANSLATE(A864,""id"",""en"")"),"Mint must be told to migu donlot  now if you want to go down the toll road")</f>
        <v>Mint must be told to migu donlot  now if you want to go down the toll road</v>
      </c>
    </row>
    <row r="819" spans="1:2" x14ac:dyDescent="0.2">
      <c r="A819" s="1" t="s">
        <v>3055</v>
      </c>
      <c r="B819" s="1" t="str">
        <f ca="1">IFERROR(__xludf.DUMFUNCTION("GOOGLETRANSLATE(A865,""id"",""en"")"),"Buy BBM must be a mandatory  application")</f>
        <v>Buy BBM must be a mandatory  application</v>
      </c>
    </row>
    <row r="820" spans="1:2" x14ac:dyDescent="0.2">
      <c r="A820" s="1" t="s">
        <v>3056</v>
      </c>
      <c r="B820" s="1" t="str">
        <f ca="1">IFERROR(__xludf.DUMFUNCTION("GOOGLETRANSLATE(A866,""id"",""en"")")," Bbal Bbm Cashless Application  is aimed at spreading gasoline type Pertalite Right to buy BBM type")</f>
        <v xml:space="preserve"> Bbal Bbm Cashless Application  is aimed at spreading gasoline type Pertalite Right to buy BBM type</v>
      </c>
    </row>
    <row r="821" spans="1:2" x14ac:dyDescent="0.2">
      <c r="A821" s="1" t="s">
        <v>3057</v>
      </c>
      <c r="B821" s="1" t="str">
        <f ca="1">IFERROR(__xludf.DUMFUNCTION("GOOGLETRANSLATE(A867,""id"",""en"")"),"some who fill the solar gas station gas station note Nopol amp number hp some kmdian can be sms  ksh code number password that dmksud or tdftar")</f>
        <v>some who fill the solar gas station gas station note Nopol amp number hp some kmdian can be sms  ksh code number password that dmksud or tdftar</v>
      </c>
    </row>
    <row r="822" spans="1:2" x14ac:dyDescent="0.2">
      <c r="A822" s="1" t="s">
        <v>3058</v>
      </c>
      <c r="B822" s="1" t="str">
        <f ca="1">IFERROR(__xludf.DUMFUNCTION("GOOGLETRANSLATE(A868,""id"",""en"")"),"list of fuel subsidies for  websites specifically for breakingnews wheels")</f>
        <v>list of fuel subsidies for  websites specifically for breakingnews wheels</v>
      </c>
    </row>
    <row r="823" spans="1:2" x14ac:dyDescent="0.2">
      <c r="A823" s="1" t="s">
        <v>3059</v>
      </c>
      <c r="B823" s="1" t="str">
        <f ca="1">IFERROR(__xludf.DUMFUNCTION("GOOGLETRANSLATE(A869,""id"",""en"")"),"Hi buddy, the information transaction information  mobile gas station is safe, minimum distance of bbm dispensers tks Firman")</f>
        <v>Hi buddy, the information transaction information  mobile gas station is safe, minimum distance of bbm dispensers tks Firman</v>
      </c>
    </row>
    <row r="824" spans="1:2" x14ac:dyDescent="0.2">
      <c r="A824" s="1" t="s">
        <v>3060</v>
      </c>
      <c r="B824" s="1" t="str">
        <f ca="1">IFERROR(__xludf.DUMFUNCTION("GOOGLETRANSLATE(A870,""id"",""en"")"),"Simple Jokowi Order Simple Liku Liku Procedure is easy if you buy gas fuel must use  difficult to cook the fierce command program, the program is difficult")</f>
        <v>Simple Jokowi Order Simple Liku Liku Procedure is easy if you buy gas fuel must use  difficult to cook the fierce command program, the program is difficult</v>
      </c>
    </row>
    <row r="825" spans="1:2" x14ac:dyDescent="0.2">
      <c r="A825" s="1" t="s">
        <v>3061</v>
      </c>
      <c r="B825" s="1" t="str">
        <f ca="1">IFERROR(__xludf.DUMFUNCTION("GOOGLETRANSLATE(A871,""id"",""en"")"),"Cimahi Bully calls Bandung Coret Barudaks Bandung Mangots people Bandung buying Pertalite Cimahi Bandung Mah uses the  alias Rudets in the core of Bandung needs Cimahi")</f>
        <v>Cimahi Bully calls Bandung Coret Barudaks Bandung Mangots people Bandung buying Pertalite Cimahi Bandung Mah uses the  alias Rudets in the core of Bandung needs Cimahi</v>
      </c>
    </row>
    <row r="826" spans="1:2" x14ac:dyDescent="0.2">
      <c r="A826" s="1" t="s">
        <v>3062</v>
      </c>
      <c r="B826" s="1" t="str">
        <f ca="1">IFERROR(__xludf.DUMFUNCTION("GOOGLETRANSLATE(A872,""id"",""en"")"),"Install ")</f>
        <v xml:space="preserve">Install </v>
      </c>
    </row>
    <row r="827" spans="1:2" x14ac:dyDescent="0.2">
      <c r="A827" s="1" t="s">
        <v>3063</v>
      </c>
      <c r="B827" s="1" t="str">
        <f ca="1">IFERROR(__xludf.DUMFUNCTION("GOOGLETRANSLATE(A873,""id"",""en"")"),"Pertalite Solar  People Buy Melon Gas Using  Application")</f>
        <v>Pertalite Solar  People Buy Melon Gas Using  Application</v>
      </c>
    </row>
    <row r="828" spans="1:2" x14ac:dyDescent="0.2">
      <c r="A828" s="1" t="s">
        <v>53</v>
      </c>
      <c r="B828" s="1" t="str">
        <f ca="1">IFERROR(__xludf.DUMFUNCTION("GOOGLETRANSLATE(A874,""id"",""en"")"),"State shackles technology is fair, it's easy for the people to go")</f>
        <v>State shackles technology is fair, it's easy for the people to go</v>
      </c>
    </row>
    <row r="829" spans="1:2" x14ac:dyDescent="0.2">
      <c r="A829" s="1" t="s">
        <v>3064</v>
      </c>
      <c r="B829" s="1" t="str">
        <f ca="1">IFERROR(__xludf.DUMFUNCTION("GOOGLETRANSLATE(A875,""id"",""en"")"),"Splashy Plan to Buy LPG Mandatory Use  Support the base of the gas reject culinary business")</f>
        <v>Splashy Plan to Buy LPG Mandatory Use  Support the base of the gas reject culinary business</v>
      </c>
    </row>
    <row r="830" spans="1:2" x14ac:dyDescent="0.2">
      <c r="A830" s="1" t="s">
        <v>3065</v>
      </c>
      <c r="B830" s="1" t="str">
        <f ca="1">IFERROR(__xludf.DUMFUNCTION("GOOGLETRANSLATE(A876,""id"",""en"")"),"then how to show the  application")</f>
        <v>then how to show the  application</v>
      </c>
    </row>
    <row r="831" spans="1:2" x14ac:dyDescent="0.2">
      <c r="A831" s="1" t="s">
        <v>3066</v>
      </c>
      <c r="B831" s="1" t="str">
        <f ca="1">IFERROR(__xludf.DUMFUNCTION("GOOGLETRANSLATE(A877,""id"",""en"")"),"PT  Persero Guna Kendara Roda Motor Mandatory List of ")</f>
        <v xml:space="preserve">PT  Persero Guna Kendara Roda Motor Mandatory List of </v>
      </c>
    </row>
    <row r="832" spans="1:2" x14ac:dyDescent="0.2">
      <c r="A832" s="1" t="s">
        <v>54</v>
      </c>
      <c r="B832" s="1" t="str">
        <f ca="1">IFERROR(__xludf.DUMFUNCTION("GOOGLETRANSLATE(A878,""id"",""en"")"),"Hi buddy buy pertalite subsidized wheels pay cashless cash according to the mode of paid gas station buy pertalite mandatory list of kendara wheel websites TKS Firman")</f>
        <v>Hi buddy buy pertalite subsidized wheels pay cashless cash according to the mode of paid gas station buy pertalite mandatory list of kendara wheel websites TKS Firman</v>
      </c>
    </row>
    <row r="833" spans="1:2" x14ac:dyDescent="0.2">
      <c r="A833" s="1" t="s">
        <v>3067</v>
      </c>
      <c r="B833" s="1" t="str">
        <f ca="1">IFERROR(__xludf.DUMFUNCTION("GOOGLETRANSLATE(A879,""id"",""en"")"),"July Test Plan for List of  Website")</f>
        <v>July Test Plan for List of  Website</v>
      </c>
    </row>
    <row r="834" spans="1:2" x14ac:dyDescent="0.2">
      <c r="A834" s="1" t="s">
        <v>3068</v>
      </c>
      <c r="B834" s="1" t="str">
        <f ca="1">IFERROR(__xludf.DUMFUNCTION("GOOGLETRANSLATE(A880,""id"",""en"")"),"Dear Mas Mardigu Wowik Buy BBM Using the  Application Answer Yes, please benefit please mas pure")</f>
        <v>Dear Mas Mardigu Wowik Buy BBM Using the  Application Answer Yes, please benefit please mas pure</v>
      </c>
    </row>
    <row r="835" spans="1:2" x14ac:dyDescent="0.2">
      <c r="A835" s="1" t="s">
        <v>3069</v>
      </c>
      <c r="B835" s="1" t="str">
        <f ca="1">IFERROR(__xludf.DUMFUNCTION("GOOGLETRANSLATE(A882,""id"",""en"")"),"Tomorrow Buy Pertalite Solar Using the  Application")</f>
        <v>Tomorrow Buy Pertalite Solar Using the  Application</v>
      </c>
    </row>
    <row r="836" spans="1:2" x14ac:dyDescent="0.2">
      <c r="A836" s="1" t="s">
        <v>3070</v>
      </c>
      <c r="B836" s="1" t="str">
        <f ca="1">IFERROR(__xludf.DUMFUNCTION("GOOGLETRANSLATE(A883,""id"",""en"")"),"can't install  can't enter")</f>
        <v>can't install  can't enter</v>
      </c>
    </row>
    <row r="837" spans="1:2" x14ac:dyDescent="0.2">
      <c r="A837" s="1" t="s">
        <v>3071</v>
      </c>
      <c r="B837" s="1" t="str">
        <f ca="1">IFERROR(__xludf.DUMFUNCTION("GOOGLETRANSLATE(A884,""id"",""en"")"),"Purchase List of Pertalite Solar Application  Website  Application Bbmsubsidi Pertalite Solar Control BBMSUBSIDI")</f>
        <v>Purchase List of Pertalite Solar Application  Website  Application Bbmsubsidi Pertalite Solar Control BBMSUBSIDI</v>
      </c>
    </row>
    <row r="838" spans="1:2" x14ac:dyDescent="0.2">
      <c r="A838" s="1" t="s">
        <v>2872</v>
      </c>
      <c r="B838" s="1" t="str">
        <f ca="1">IFERROR(__xludf.DUMFUNCTION("GOOGLETRANSLATE(A885,""id"",""en"")"),"Sasar Salasi July  Open the list of  websites, guys")</f>
        <v>Sasar Salasi July  Open the list of  websites, guys</v>
      </c>
    </row>
    <row r="839" spans="1:2" x14ac:dyDescent="0.2">
      <c r="A839" s="1" t="s">
        <v>55</v>
      </c>
      <c r="B839" s="1" t="str">
        <f ca="1">IFERROR(__xludf.DUMFUNCTION("GOOGLETRANSLATE(A886,""id"",""en"")"),"for the IT BBM technology system")</f>
        <v>for the IT BBM technology system</v>
      </c>
    </row>
    <row r="840" spans="1:2" x14ac:dyDescent="0.2">
      <c r="A840" s="1" t="s">
        <v>3072</v>
      </c>
      <c r="B840" s="1" t="str">
        <f ca="1">IFERROR(__xludf.DUMFUNCTION("GOOGLETRANSLATE(A887,""id"",""en"")"),"Image using  apk wkwkwk")</f>
        <v>Image using  apk wkwkwk</v>
      </c>
    </row>
    <row r="841" spans="1:2" x14ac:dyDescent="0.2">
      <c r="A841" s="1" t="s">
        <v>3073</v>
      </c>
      <c r="B841" s="1" t="str">
        <f ca="1">IFERROR(__xludf.DUMFUNCTION("GOOGLETRANSLATE(A888,""id"",""en"")")," Disability Bet Application")</f>
        <v xml:space="preserve"> Disability Bet Application</v>
      </c>
    </row>
    <row r="842" spans="1:2" x14ac:dyDescent="0.2">
      <c r="A842" s="1" t="s">
        <v>3074</v>
      </c>
      <c r="B842" s="1" t="str">
        <f ca="1">IFERROR(__xludf.DUMFUNCTION("GOOGLETRANSLATE(A889,""id"",""en"")"),"the registration of  is really the results of the barcode printed scanning nu")</f>
        <v>the registration of  is really the results of the barcode printed scanning nu</v>
      </c>
    </row>
    <row r="843" spans="1:2" x14ac:dyDescent="0.2">
      <c r="A843" s="1" t="s">
        <v>3075</v>
      </c>
      <c r="B843" s="1" t="str">
        <f ca="1">IFERROR(__xludf.DUMFUNCTION("GOOGLETRANSLATE(A890,""id"",""en"")"),"how come the gas station is fiercely angry to walk the orders from the apps  queue, understand that makes it difficult for the people's orders to work on gas stations")</f>
        <v>how come the gas station is fiercely angry to walk the orders from the apps  queue, understand that makes it difficult for the people's orders to work on gas stations</v>
      </c>
    </row>
    <row r="844" spans="1:2" x14ac:dyDescent="0.2">
      <c r="A844" s="1" t="s">
        <v>2868</v>
      </c>
      <c r="B844" s="1" t="str">
        <f ca="1">IFERROR(__xludf.DUMFUNCTION("GOOGLETRANSLATE(A891,""id"",""en"")"),"Sasar Salasi July  Open a list of  solid websites. Moga Success")</f>
        <v>Sasar Salasi July  Open a list of  solid websites. Moga Success</v>
      </c>
    </row>
    <row r="845" spans="1:2" x14ac:dyDescent="0.2">
      <c r="A845" s="1" t="s">
        <v>3076</v>
      </c>
      <c r="B845" s="1" t="str">
        <f ca="1">IFERROR(__xludf.DUMFUNCTION("GOOGLETRANSLATE(A892,""id"",""en"")"),"Section Head Communication AMP  Patra Niaga Lower Jatimbalinus Arya Yusa Dwicandra East Java region sells the BBM list subsidy  application  page")</f>
        <v>Section Head Communication AMP  Patra Niaga Lower Jatimbalinus Arya Yusa Dwicandra East Java region sells the BBM list subsidy  application  page</v>
      </c>
    </row>
    <row r="846" spans="1:2" x14ac:dyDescent="0.2">
      <c r="A846" s="1" t="s">
        <v>3077</v>
      </c>
      <c r="B846" s="1" t="str">
        <f ca="1">IFERROR(__xludf.DUMFUNCTION("GOOGLETRANSLATE(A893,""id"",""en"")"),"PT  Persero Buying List of Special Digital  Digital Platform Fuels Owned by Kendara Roda")</f>
        <v>PT  Persero Buying List of Special Digital  Digital Platform Fuels Owned by Kendara Roda</v>
      </c>
    </row>
    <row r="847" spans="1:2" x14ac:dyDescent="0.2">
      <c r="A847" s="1" t="s">
        <v>3064</v>
      </c>
      <c r="B847" s="1" t="str">
        <f ca="1">IFERROR(__xludf.DUMFUNCTION("GOOGLETRANSLATE(A894,""id"",""en"")"),"Splashy Plan to Buy LPG Mandatory Use  Support the base of the gas reject culinary business")</f>
        <v>Splashy Plan to Buy LPG Mandatory Use  Support the base of the gas reject culinary business</v>
      </c>
    </row>
    <row r="848" spans="1:2" x14ac:dyDescent="0.2">
      <c r="A848" s="1" t="s">
        <v>3078</v>
      </c>
      <c r="B848" s="1" t="str">
        <f ca="1">IFERROR(__xludf.DUMFUNCTION("GOOGLETRANSLATE(A895,""id"",""en"")"),"Hi buddy sila, friend, type the manual column of the kendara brand, the  Data Data, the information, the information, check the  Tks Gio application")</f>
        <v>Hi buddy sila, friend, type the manual column of the kendara brand, the  Data Data, the information, the information, check the  Tks Gio application</v>
      </c>
    </row>
    <row r="849" spans="1:2" x14ac:dyDescent="0.2">
      <c r="A849" s="1" t="s">
        <v>3079</v>
      </c>
      <c r="B849" s="1" t="str">
        <f ca="1">IFERROR(__xludf.DUMFUNCTION("GOOGLETRANSLATE(A896,""id"",""en"")"),"Hi buddy donny information transaction  application mobile gas station safe minimum distance meter BBM Dispensers TKS Firman")</f>
        <v>Hi buddy donny information transaction  application mobile gas station safe minimum distance meter BBM Dispensers TKS Firman</v>
      </c>
    </row>
    <row r="850" spans="1:2" x14ac:dyDescent="0.2">
      <c r="A850" s="1" t="s">
        <v>3080</v>
      </c>
      <c r="B850" s="1" t="str">
        <f ca="1">IFERROR(__xludf.DUMFUNCTION("GOOGLETRANSLATE(A897,""id"",""en"")"),"Buy LPG Gas Kg Plans List of  Pramborsnews")</f>
        <v>Buy LPG Gas Kg Plans List of  Pramborsnews</v>
      </c>
    </row>
    <row r="851" spans="1:2" x14ac:dyDescent="0.2">
      <c r="A851" s="1" t="s">
        <v>3081</v>
      </c>
      <c r="B851" s="1" t="str">
        <f ca="1">IFERROR(__xludf.DUMFUNCTION("GOOGLETRANSLATE(A898,""id"",""en"")"),"ud install  yet")</f>
        <v>ud install  yet</v>
      </c>
    </row>
    <row r="852" spans="1:2" x14ac:dyDescent="0.2">
      <c r="A852" s="1" t="s">
        <v>3082</v>
      </c>
      <c r="B852" s="1" t="str">
        <f ca="1">IFERROR(__xludf.DUMFUNCTION("GOOGLETRANSLATE(A899,""id"",""en"")")," list of print barcode community Bring the contents of the fuel subsidy gas station Code QR Print Bring SPBU MUST Bring SPBU Cellphone How")</f>
        <v xml:space="preserve"> list of print barcode community Bring the contents of the fuel subsidy gas station Code QR Print Bring SPBU MUST Bring SPBU Cellphone How</v>
      </c>
    </row>
    <row r="853" spans="1:2" x14ac:dyDescent="0.2">
      <c r="A853" s="1" t="s">
        <v>3046</v>
      </c>
      <c r="B853" s="1" t="str">
        <f ca="1">IFERROR(__xludf.DUMFUNCTION("GOOGLETRANSLATE(A900,""id"",""en"")"),"List of  Applications Read Info Gaes July BBM Limits SUBSIDI OPEN ENERGIZINGYOU ENERGIZINGYOURFUTURE")</f>
        <v>List of  Applications Read Info Gaes July BBM Limits SUBSIDI OPEN ENERGIZINGYOU ENERGIZINGYOURFUTURE</v>
      </c>
    </row>
    <row r="854" spans="1:2" x14ac:dyDescent="0.2">
      <c r="A854" s="1" t="s">
        <v>3083</v>
      </c>
      <c r="B854" s="1" t="str">
        <f ca="1">IFERROR(__xludf.DUMFUNCTION("GOOGLETRANSLATE(A901,""id"",""en"")"),"Rudet Pis Pump Gas Station makes a traffic jam that bought gasoline, the impact of the must use the  application if you buy pertalite for the Pertalite path of Pertalite, but it turns out")</f>
        <v>Rudet Pis Pump Gas Station makes a traffic jam that bought gasoline, the impact of the must use the  application if you buy pertalite for the Pertalite path of Pertalite, but it turns out</v>
      </c>
    </row>
    <row r="855" spans="1:2" x14ac:dyDescent="0.2">
      <c r="A855" s="1" t="s">
        <v>3084</v>
      </c>
      <c r="B855" s="1" t="str">
        <f ca="1">IFERROR(__xludf.DUMFUNCTION("GOOGLETRANSLATE(A902,""id"",""en"")"),"no kids om  application")</f>
        <v>no kids om  application</v>
      </c>
    </row>
    <row r="856" spans="1:2" x14ac:dyDescent="0.2">
      <c r="A856" s="1" t="s">
        <v>3085</v>
      </c>
      <c r="B856" s="1" t="str">
        <f ca="1">IFERROR(__xludf.DUMFUNCTION("GOOGLETRANSLATE(A903,""id"",""en"")"),"sis, please register ")</f>
        <v xml:space="preserve">sis, please register </v>
      </c>
    </row>
    <row r="857" spans="1:2" x14ac:dyDescent="0.2">
      <c r="A857" s="1" t="s">
        <v>3084</v>
      </c>
      <c r="B857" s="1" t="str">
        <f ca="1">IFERROR(__xludf.DUMFUNCTION("GOOGLETRANSLATE(A904,""id"",""en"")"),"no kids om  application")</f>
        <v>no kids om  application</v>
      </c>
    </row>
    <row r="858" spans="1:2" x14ac:dyDescent="0.2">
      <c r="A858" s="1" t="s">
        <v>56</v>
      </c>
      <c r="B858" s="1" t="str">
        <f ca="1">IFERROR(__xludf.DUMFUNCTION("GOOGLETRANSLATE(A905,""id"",""en"")"),"not like that consumers fill in the vehicle data if the vehicle list is list of first buying rights")</f>
        <v>not like that consumers fill in the vehicle data if the vehicle list is list of first buying rights</v>
      </c>
    </row>
    <row r="859" spans="1:2" x14ac:dyDescent="0.2">
      <c r="A859" s="1" t="s">
        <v>3086</v>
      </c>
      <c r="B859" s="1" t="str">
        <f ca="1">IFERROR(__xludf.DUMFUNCTION("GOOGLETRANSLATE(A906,""id"",""en"")"),"July List of BBM Subsidies  Website Special Wheel")</f>
        <v>July List of BBM Subsidies  Website Special Wheel</v>
      </c>
    </row>
    <row r="860" spans="1:2" x14ac:dyDescent="0.2">
      <c r="A860" s="1" t="s">
        <v>3087</v>
      </c>
      <c r="B860" s="1" t="str">
        <f ca="1">IFERROR(__xludf.DUMFUNCTION("GOOGLETRANSLATE(A907,""id"",""en"")"),"RARIWEUH INSTALL APP  MAH KARI INSTALL NU TEU BOGA TEU SHENEUN HPNA MAH DA UNDERSTANDING PAGAWENA GE ATAH AYA Tolerance")</f>
        <v>RARIWEUH INSTALL APP  MAH KARI INSTALL NU TEU BOGA TEU SHENEUN HPNA MAH DA UNDERSTANDING PAGAWENA GE ATAH AYA Tolerance</v>
      </c>
    </row>
    <row r="861" spans="1:2" x14ac:dyDescent="0.2">
      <c r="A861" s="1" t="s">
        <v>3088</v>
      </c>
      <c r="B861" s="1" t="str">
        <f ca="1">IFERROR(__xludf.DUMFUNCTION("GOOGLETRANSLATE(A908,""id"",""en"")"),"Developed forced the Pel  application insisted on selecting MILU")</f>
        <v>Developed forced the Pel  application insisted on selecting MILU</v>
      </c>
    </row>
    <row r="862" spans="1:2" x14ac:dyDescent="0.2">
      <c r="A862" s="1" t="s">
        <v>3089</v>
      </c>
      <c r="B862" s="1" t="str">
        <f ca="1">IFERROR(__xludf.DUMFUNCTION("GOOGLETRANSLATE(A909,""id"",""en"")"),"Gin cok if you have a  apps, I can't get a guy if you don't download the application so I will urinate")</f>
        <v>Gin cok if you have a  apps, I can't get a guy if you don't download the application so I will urinate</v>
      </c>
    </row>
    <row r="863" spans="1:2" x14ac:dyDescent="0.2">
      <c r="A863" s="1" t="s">
        <v>3090</v>
      </c>
      <c r="B863" s="1" t="str">
        <f ca="1">IFERROR(__xludf.DUMFUNCTION("GOOGLETRANSLATE(A910,""id"",""en"")"),"buy pertalite using the  application netizens to bother the people")</f>
        <v>buy pertalite using the  application netizens to bother the people</v>
      </c>
    </row>
    <row r="864" spans="1:2" x14ac:dyDescent="0.2">
      <c r="A864" s="1" t="s">
        <v>3091</v>
      </c>
      <c r="B864" s="1" t="str">
        <f ca="1">IFERROR(__xludf.DUMFUNCTION("GOOGLETRANSLATE(A911,""id"",""en"")"),"fortunately the city of Tasik who was hit by  gave a papah already know yet")</f>
        <v>fortunately the city of Tasik who was hit by  gave a papah already know yet</v>
      </c>
    </row>
    <row r="865" spans="1:2" x14ac:dyDescent="0.2">
      <c r="A865" s="1" t="s">
        <v>3092</v>
      </c>
      <c r="B865" s="1" t="str">
        <f ca="1">IFERROR(__xludf.DUMFUNCTION("GOOGLETRANSLATE(A912,""id"",""en"")"),"Luckily Twitter is not subsidized by Gaperlu  wkwk")</f>
        <v>Luckily Twitter is not subsidized by Gaperlu  wkwk</v>
      </c>
    </row>
    <row r="866" spans="1:2" x14ac:dyDescent="0.2">
      <c r="A866" s="1" t="s">
        <v>3093</v>
      </c>
      <c r="B866" s="1" t="str">
        <f ca="1">IFERROR(__xludf.DUMFUNCTION("GOOGLETRANSLATE(A913,""id"",""en"")"),"td watching the news  some option is the wrong sticker that sticks to the vehicle, the sign is already like the tea is not complicated just stick it, just task")</f>
        <v>td watching the news  some option is the wrong sticker that sticks to the vehicle, the sign is already like the tea is not complicated just stick it, just task</v>
      </c>
    </row>
    <row r="867" spans="1:2" x14ac:dyDescent="0.2">
      <c r="A867" s="1" t="s">
        <v>3094</v>
      </c>
      <c r="B867" s="1" t="str">
        <f ca="1">IFERROR(__xludf.DUMFUNCTION("GOOGLETRANSLATE(A914,""id"",""en"")"),"Tomorrow, the list of buying lists for pertalite ")</f>
        <v xml:space="preserve">Tomorrow, the list of buying lists for pertalite </v>
      </c>
    </row>
    <row r="868" spans="1:2" x14ac:dyDescent="0.2">
      <c r="A868" s="1" t="s">
        <v>3095</v>
      </c>
      <c r="B868" s="1" t="str">
        <f ca="1">IFERROR(__xludf.DUMFUNCTION("GOOGLETRANSLATE(A915,""id"",""en"")"),"Already Uninstall Install ")</f>
        <v xml:space="preserve">Already Uninstall Install </v>
      </c>
    </row>
    <row r="869" spans="1:2" x14ac:dyDescent="0.2">
      <c r="A869" s="1" t="s">
        <v>3096</v>
      </c>
      <c r="B869" s="1" t="str">
        <f ca="1">IFERROR(__xludf.DUMFUNCTION("GOOGLETRANSLATE(A916,""id"",""en"")"),"buy fuel fuel fuel subsidized  applications for the Friday page Friday July")</f>
        <v>buy fuel fuel fuel subsidized  applications for the Friday page Friday July</v>
      </c>
    </row>
    <row r="870" spans="1:2" x14ac:dyDescent="0.2">
      <c r="A870" s="1" t="s">
        <v>3097</v>
      </c>
      <c r="B870" s="1" t="str">
        <f ca="1">IFERROR(__xludf.DUMFUNCTION("GOOGLETRANSLATE(A917,""id"",""en"")"),"Come on, don't download , I don't buy motorcycle gasoline")</f>
        <v>Come on, don't download , I don't buy motorcycle gasoline</v>
      </c>
    </row>
    <row r="871" spans="1:2" x14ac:dyDescent="0.2">
      <c r="A871" s="1" t="s">
        <v>3098</v>
      </c>
      <c r="B871" s="1" t="str">
        <f ca="1">IFERROR(__xludf.DUMFUNCTION("GOOGLETRANSLATE(A918,""id"",""en"")"),"After filling up ")</f>
        <v xml:space="preserve">After filling up </v>
      </c>
    </row>
    <row r="872" spans="1:2" x14ac:dyDescent="0.2">
      <c r="A872" s="1" t="s">
        <v>3099</v>
      </c>
      <c r="B872" s="1" t="str">
        <f ca="1">IFERROR(__xludf.DUMFUNCTION("GOOGLETRANSLATE(A920,""id"",""en"")"),"already lazy to see the behavior of people install  wkwk")</f>
        <v>already lazy to see the behavior of people install  wkwk</v>
      </c>
    </row>
    <row r="873" spans="1:2" x14ac:dyDescent="0.2">
      <c r="A873" s="1" t="s">
        <v>57</v>
      </c>
      <c r="B873" s="1" t="str">
        <f ca="1">IFERROR(__xludf.DUMFUNCTION("GOOGLETRANSLATE(A921,""id"",""en"")"),"Hi friend Rizky information buying solar subsidies for the special wheel list of the TKS Gio website list")</f>
        <v>Hi friend Rizky information buying solar subsidies for the special wheel list of the TKS Gio website list</v>
      </c>
    </row>
    <row r="874" spans="1:2" x14ac:dyDescent="0.2">
      <c r="A874" s="1" t="s">
        <v>3100</v>
      </c>
      <c r="B874" s="1" t="str">
        <f ca="1">IFERROR(__xludf.DUMFUNCTION("GOOGLETRANSLATE(A922,""id"",""en"")"),"dih ")</f>
        <v xml:space="preserve">dih </v>
      </c>
    </row>
    <row r="875" spans="1:2" x14ac:dyDescent="0.2">
      <c r="A875" s="1" t="s">
        <v>3101</v>
      </c>
      <c r="B875" s="1" t="str">
        <f ca="1">IFERROR(__xludf.DUMFUNCTION("GOOGLETRANSLATE(A923,""id"",""en"")"),"wahhhh yeah, the application of  is charged or the cost of platforms, I'm not downloading bikos not kendara")</f>
        <v>wahhhh yeah, the application of  is charged or the cost of platforms, I'm not downloading bikos not kendara</v>
      </c>
    </row>
    <row r="876" spans="1:2" x14ac:dyDescent="0.2">
      <c r="A876" s="1" t="s">
        <v>3102</v>
      </c>
      <c r="B876" s="1" t="str">
        <f ca="1">IFERROR(__xludf.DUMFUNCTION("GOOGLETRANSLATE(A924,""id"",""en"")"),"West Java Regency City Trial Test List of Pertalite Solar Transactions   Application")</f>
        <v>West Java Regency City Trial Test List of Pertalite Solar Transactions   Application</v>
      </c>
    </row>
    <row r="877" spans="1:2" x14ac:dyDescent="0.2">
      <c r="A877" s="1" t="s">
        <v>3103</v>
      </c>
      <c r="B877" s="1" t="str">
        <f ca="1">IFERROR(__xludf.DUMFUNCTION("GOOGLETRANSLATE(A925,""id"",""en"")"),"gas stations prohibit playing mobile phones told to download the  application, the contents of the country's fuel make the people complicated")</f>
        <v>gas stations prohibit playing mobile phones told to download the  application, the contents of the country's fuel make the people complicated</v>
      </c>
    </row>
    <row r="878" spans="1:2" x14ac:dyDescent="0.2">
      <c r="A878" s="1" t="s">
        <v>3104</v>
      </c>
      <c r="B878" s="1" t="str">
        <f ca="1">IFERROR(__xludf.DUMFUNCTION("GOOGLETRANSLATE(A926,""id"",""en"")"),"Buy Pertalite Solar Using  tomorrow Jogja Residents SPBU Location of Flash Test")</f>
        <v>Buy Pertalite Solar Using  tomorrow Jogja Residents SPBU Location of Flash Test</v>
      </c>
    </row>
    <row r="879" spans="1:2" x14ac:dyDescent="0.2">
      <c r="A879" s="1" t="s">
        <v>58</v>
      </c>
      <c r="B879" s="1" t="str">
        <f ca="1">IFERROR(__xludf.DUMFUNCTION("GOOGLETRANSLATE(A927,""id"",""en"")"),"Buy BBM Subsidies Solar Pertalite Roda Pay Cash Cashless according to the mode of payment of gas stations Represent QR Code Results List of TKS Firman Website List")</f>
        <v>Buy BBM Subsidies Solar Pertalite Roda Pay Cash Cashless according to the mode of payment of gas stations Represent QR Code Results List of TKS Firman Website List</v>
      </c>
    </row>
    <row r="880" spans="1:2" x14ac:dyDescent="0.2">
      <c r="A880" s="1" t="s">
        <v>3105</v>
      </c>
      <c r="B880" s="1" t="str">
        <f ca="1">IFERROR(__xludf.DUMFUNCTION("GOOGLETRANSLATE(A928,""id"",""en"")"),"Merchandise Voucher Exchange Points Available  Application Information please access")</f>
        <v>Merchandise Voucher Exchange Points Available  Application Information please access</v>
      </c>
    </row>
    <row r="881" spans="1:2" x14ac:dyDescent="0.2">
      <c r="A881" s="1" t="s">
        <v>3106</v>
      </c>
      <c r="B881" s="1" t="str">
        <f ca="1">IFERROR(__xludf.DUMFUNCTION("GOOGLETRANSLATE(A929,""id"",""en"")"),"Hi friend Fariz information is wrong benefit the  application, friend, buy BBM Pertamax Series DEX Series, the  Point Application")</f>
        <v>Hi friend Fariz information is wrong benefit the  application, friend, buy BBM Pertamax Series DEX Series, the  Point Application</v>
      </c>
    </row>
    <row r="882" spans="1:2" x14ac:dyDescent="0.2">
      <c r="A882" s="1" t="s">
        <v>3107</v>
      </c>
      <c r="B882" s="1" t="str">
        <f ca="1">IFERROR(__xludf.DUMFUNCTION("GOOGLETRANSLATE(A930,""id"",""en"")")," is available for the Linkaja Linkaja Electronic Pay System")</f>
        <v xml:space="preserve"> is available for the Linkaja Linkaja Electronic Pay System</v>
      </c>
    </row>
    <row r="883" spans="1:2" x14ac:dyDescent="0.2">
      <c r="A883" s="1" t="s">
        <v>3108</v>
      </c>
      <c r="B883" s="1" t="str">
        <f ca="1">IFERROR(__xludf.DUMFUNCTION("GOOGLETRANSLATE(A931,""id"",""en"")"),"Jakarta JULI SELL AP  to buy Pertalite")</f>
        <v>Jakarta JULI SELL AP  to buy Pertalite</v>
      </c>
    </row>
    <row r="884" spans="1:2" x14ac:dyDescent="0.2">
      <c r="A884" s="1" t="s">
        <v>3109</v>
      </c>
      <c r="B884" s="1" t="str">
        <f ca="1">IFERROR(__xludf.DUMFUNCTION("GOOGLETRANSLATE(A932,""id"",""en"")"),"GESS GESSS RAME NICHHHHH POINTS YUKKK ")</f>
        <v xml:space="preserve">GESS GESSS RAME NICHHHHH POINTS YUKKK </v>
      </c>
    </row>
    <row r="885" spans="1:2" x14ac:dyDescent="0.2">
      <c r="A885" s="1" t="s">
        <v>59</v>
      </c>
      <c r="B885" s="1" t="str">
        <f ca="1">IFERROR(__xludf.DUMFUNCTION("GOOGLETRANSLATE(A933,""id"",""en"")"),"please use the brain to set according to the field reality")</f>
        <v>please use the brain to set according to the field reality</v>
      </c>
    </row>
    <row r="886" spans="1:2" x14ac:dyDescent="0.2">
      <c r="A886" s="1" t="s">
        <v>3110</v>
      </c>
      <c r="B886" s="1" t="str">
        <f ca="1">IFERROR(__xludf.DUMFUNCTION("GOOGLETRANSLATE(A934,""id"",""en"")"),"tutorial filled with gasoline with ")</f>
        <v xml:space="preserve">tutorial filled with gasoline with </v>
      </c>
    </row>
    <row r="887" spans="1:2" x14ac:dyDescent="0.2">
      <c r="A887" s="1" t="s">
        <v>3111</v>
      </c>
      <c r="B887" s="1" t="str">
        <f ca="1">IFERROR(__xludf.DUMFUNCTION("GOOGLETRANSLATE(A935,""id"",""en"")"),"Car info must use  cc and come out")</f>
        <v>Car info must use  cc and come out</v>
      </c>
    </row>
    <row r="888" spans="1:2" x14ac:dyDescent="0.2">
      <c r="A888" s="1" t="s">
        <v>3112</v>
      </c>
      <c r="B888" s="1" t="str">
        <f ca="1">IFERROR(__xludf.DUMFUNCTION("GOOGLETRANSLATE(A936,""id"",""en"")"),"make a  app tweet")</f>
        <v>make a  app tweet</v>
      </c>
    </row>
    <row r="889" spans="1:2" x14ac:dyDescent="0.2">
      <c r="A889" s="1" t="s">
        <v>3113</v>
      </c>
      <c r="B889" s="1" t="str">
        <f ca="1">IFERROR(__xludf.DUMFUNCTION("GOOGLETRANSLATE(A937,""id"",""en"")"),"List of fuel subsidies for the Special  website of Jakarta Roda PT  Persero  Patra Niaga Sub Holding Commercial Amp BBMSidi Beritajatim   Beritamigas")</f>
        <v>List of fuel subsidies for the Special  website of Jakarta Roda PT  Persero  Patra Niaga Sub Holding Commercial Amp BBMSidi Beritajatim   Beritamigas</v>
      </c>
    </row>
    <row r="890" spans="1:2" x14ac:dyDescent="0.2">
      <c r="A890" s="1" t="s">
        <v>3114</v>
      </c>
      <c r="B890" s="1" t="str">
        <f ca="1">IFERROR(__xludf.DUMFUNCTION("GOOGLETRANSLATE(A938,""id"",""en"")"),"Friends of Rezeki Help Light Light Burden Friends Moga God Reply Double Folding Friends Friends Click the link, after all")</f>
        <v>Friends of Rezeki Help Light Light Burden Friends Moga God Reply Double Folding Friends Friends Click the link, after all</v>
      </c>
    </row>
    <row r="891" spans="1:2" x14ac:dyDescent="0.2">
      <c r="A891" s="1" t="s">
        <v>957</v>
      </c>
      <c r="B891" s="1" t="str">
        <f ca="1">IFERROR(__xludf.DUMFUNCTION("GOOGLETRANSLATE(A939,""id"",""en"")")," Patraniaga Data Percent of people consumption percent of total subsidized fuel")</f>
        <v xml:space="preserve"> Patraniaga Data Percent of people consumption percent of total subsidized fuel</v>
      </c>
    </row>
    <row r="892" spans="1:2" x14ac:dyDescent="0.2">
      <c r="A892" s="1" t="s">
        <v>3115</v>
      </c>
      <c r="B892" s="1" t="str">
        <f ca="1">IFERROR(__xludf.DUMFUNCTION("GOOGLETRANSLATE(A940,""id"",""en"")"),"Thinking of Cingogo, I don't get dizzy thinking about  queuing to buy gasoline")</f>
        <v>Thinking of Cingogo, I don't get dizzy thinking about  queuing to buy gasoline</v>
      </c>
    </row>
    <row r="893" spans="1:2" x14ac:dyDescent="0.2">
      <c r="A893" s="1" t="s">
        <v>3116</v>
      </c>
      <c r="B893" s="1" t="str">
        <f ca="1">IFERROR(__xludf.DUMFUNCTION("GOOGLETRANSLATE(A941,""id"",""en"")"),"Guys  Cash List Application Websites Already Operations")</f>
        <v>Guys  Cash List Application Websites Already Operations</v>
      </c>
    </row>
    <row r="894" spans="1:2" x14ac:dyDescent="0.2">
      <c r="A894" s="1" t="s">
        <v>3063</v>
      </c>
      <c r="B894" s="1" t="str">
        <f ca="1">IFERROR(__xludf.DUMFUNCTION("GOOGLETRANSLATE(A942,""id"",""en"")"),"Pertalite Solar  People Buy Melon Gas Using  Application")</f>
        <v>Pertalite Solar  People Buy Melon Gas Using  Application</v>
      </c>
    </row>
    <row r="895" spans="1:2" x14ac:dyDescent="0.2">
      <c r="A895" s="1" t="s">
        <v>3117</v>
      </c>
      <c r="B895" s="1" t="str">
        <f ca="1">IFERROR(__xludf.DUMFUNCTION("GOOGLETRANSLATE(A943,""id"",""en"")"),"Fun download  so that from July, Bs Fill in Solar Gocengan input No Hp Lgsg know the number of the plate is shocked by the command lgsg to save the database")</f>
        <v>Fun download  so that from July, Bs Fill in Solar Gocengan input No Hp Lgsg know the number of the plate is shocked by the command lgsg to save the database</v>
      </c>
    </row>
    <row r="896" spans="1:2" x14ac:dyDescent="0.2">
      <c r="A896" s="1" t="s">
        <v>3118</v>
      </c>
      <c r="B896" s="1" t="str">
        <f ca="1">IFERROR(__xludf.DUMFUNCTION("GOOGLETRANSLATE(A944,""id"",""en"")"),"July Dump Photo Screenshot has installed  we see")</f>
        <v>July Dump Photo Screenshot has installed  we see</v>
      </c>
    </row>
    <row r="897" spans="1:2" x14ac:dyDescent="0.2">
      <c r="A897" s="1" t="s">
        <v>3119</v>
      </c>
      <c r="B897" s="1" t="str">
        <f ca="1">IFERROR(__xludf.DUMFUNCTION("GOOGLETRANSLATE(A945,""id"",""en"")"),"not required to install again read the info that drops the list of subsiditespas  doesn't use a cellphone if valid can get qrcode qrcode printed to buy bbm so it doesn't bring a cellphone")</f>
        <v>not required to install again read the info that drops the list of subsiditespas  doesn't use a cellphone if valid can get qrcode qrcode printed to buy bbm so it doesn't bring a cellphone</v>
      </c>
    </row>
    <row r="898" spans="1:2" x14ac:dyDescent="0.2">
      <c r="A898" s="1" t="s">
        <v>3120</v>
      </c>
      <c r="B898" s="1" t="str">
        <f ca="1">IFERROR(__xludf.DUMFUNCTION("GOOGLETRANSLATE(A946,""id"",""en"")"),"Mosok, yeah, , register, wait for the socialization")</f>
        <v>Mosok, yeah, , register, wait for the socialization</v>
      </c>
    </row>
    <row r="899" spans="1:2" x14ac:dyDescent="0.2">
      <c r="A899" s="1" t="s">
        <v>3121</v>
      </c>
      <c r="B899" s="1" t="str">
        <f ca="1">IFERROR(__xludf.DUMFUNCTION("GOOGLETRANSLATE(A947,""id"",""en"")"),"the uninstall installation that installs the love of  stars reject the ")</f>
        <v xml:space="preserve">the uninstall installation that installs the love of  stars reject the </v>
      </c>
    </row>
    <row r="900" spans="1:2" x14ac:dyDescent="0.2">
      <c r="A900" s="1" t="s">
        <v>3122</v>
      </c>
      <c r="B900" s="1" t="str">
        <f ca="1">IFERROR(__xludf.DUMFUNCTION("GOOGLETRANSLATE(A948,""id"",""en"")"),"Sek Sek Download ")</f>
        <v xml:space="preserve">Sek Sek Download </v>
      </c>
    </row>
    <row r="901" spans="1:2" x14ac:dyDescent="0.2">
      <c r="A901" s="1" t="s">
        <v>60</v>
      </c>
      <c r="B901" s="1" t="str">
        <f ca="1">IFERROR(__xludf.DUMFUNCTION("GOOGLETRANSLATE(A949,""id"",""en"")"),"list of buying fuel subsidies pages")</f>
        <v>list of buying fuel subsidies pages</v>
      </c>
    </row>
    <row r="902" spans="1:2" x14ac:dyDescent="0.2">
      <c r="A902" s="1" t="s">
        <v>3123</v>
      </c>
      <c r="B902" s="1" t="str">
        <f ca="1">IFERROR(__xludf.DUMFUNCTION("GOOGLETRANSLATE(A950,""id"",""en"")"),"Adjust ")</f>
        <v xml:space="preserve">Adjust </v>
      </c>
    </row>
    <row r="903" spans="1:2" x14ac:dyDescent="0.2">
      <c r="A903" s="1" t="s">
        <v>3124</v>
      </c>
      <c r="B903" s="1" t="str">
        <f ca="1">IFERROR(__xludf.DUMFUNCTION("GOOGLETRANSLATE(A951,""id"",""en"")"),"Eh, I don't understand the scheme to buy pertalite  booking pertalite applications, just show proof that you already book the proof of the gas station application, not turn on the cellphone")</f>
        <v>Eh, I don't understand the scheme to buy pertalite  booking pertalite applications, just show proof that you already book the proof of the gas station application, not turn on the cellphone</v>
      </c>
    </row>
    <row r="904" spans="1:2" x14ac:dyDescent="0.2">
      <c r="A904" s="1" t="s">
        <v>3125</v>
      </c>
      <c r="B904" s="1" t="str">
        <f ca="1">IFERROR(__xludf.DUMFUNCTION("GOOGLETRANSLATE(A952,""id"",""en"")")," already required to be confused about buying pertalite hh")</f>
        <v xml:space="preserve"> already required to be confused about buying pertalite hh</v>
      </c>
    </row>
    <row r="905" spans="1:2" x14ac:dyDescent="0.2">
      <c r="A905" s="1" t="s">
        <v>3126</v>
      </c>
      <c r="B905" s="1" t="str">
        <f ca="1">IFERROR(__xludf.DUMFUNCTION("GOOGLETRANSLATE(A953,""id"",""en"")"),"List of   FREE APPLICATIONS Watch Video Select  Application ")</f>
        <v xml:space="preserve">List of   FREE APPLICATIONS Watch Video Select  Application </v>
      </c>
    </row>
    <row r="906" spans="1:2" x14ac:dyDescent="0.2">
      <c r="A906" s="1" t="s">
        <v>3127</v>
      </c>
      <c r="B906" s="1" t="str">
        <f ca="1">IFERROR(__xludf.DUMFUNCTION("GOOGLETRANSLATE(A954,""id"",""en"")"),"Gas Kg Buy Using  Interestnews Buy BBM Type Pertalite Buy Gas Kg Using the  Market Director Application")</f>
        <v>Gas Kg Buy Using  Interestnews Buy BBM Type Pertalite Buy Gas Kg Using the  Market Director Application</v>
      </c>
    </row>
    <row r="907" spans="1:2" x14ac:dyDescent="0.2">
      <c r="A907" s="1" t="s">
        <v>2944</v>
      </c>
      <c r="B907" s="1" t="str">
        <f ca="1">IFERROR(__xludf.DUMFUNCTION("GOOGLETRANSLATE(A955,""id"",""en"")"),"Gas Kg Buy Using ")</f>
        <v xml:space="preserve">Gas Kg Buy Using </v>
      </c>
    </row>
    <row r="908" spans="1:2" x14ac:dyDescent="0.2">
      <c r="A908" s="1" t="s">
        <v>2719</v>
      </c>
      <c r="B908" s="1" t="str">
        <f ca="1">IFERROR(__xludf.DUMFUNCTION("GOOGLETRANSLATE(A956,""id"",""en"")"),"Corporate Communication of PT  Firm  Hati Hati the Official Application of   Communications Communications Corporate Corporate Communicasikita application Pertalite Solar BBM POM SPBU News News Info")</f>
        <v>Corporate Communication of PT  Firm  Hati Hati the Official Application of   Communications Communications Corporate Corporate Communicasikita application Pertalite Solar BBM POM SPBU News News Info</v>
      </c>
    </row>
    <row r="909" spans="1:2" x14ac:dyDescent="0.2">
      <c r="A909" s="1" t="s">
        <v>3128</v>
      </c>
      <c r="B909" s="1" t="str">
        <f ca="1">IFERROR(__xludf.DUMFUNCTION("GOOGLETRANSLATE(A957,""id"",""en"")")," Criminal Code Bill")</f>
        <v xml:space="preserve"> Criminal Code Bill</v>
      </c>
    </row>
    <row r="910" spans="1:2" x14ac:dyDescent="0.2">
      <c r="A910" s="1" t="s">
        <v>3129</v>
      </c>
      <c r="B910" s="1" t="str">
        <f ca="1">IFERROR(__xludf.DUMFUNCTION("GOOGLETRANSLATE(A958,""id"",""en"")"),"Read the news, Nder, add  for rich wheel -wheeled vehicles")</f>
        <v>Read the news, Nder, add  for rich wheel -wheeled vehicles</v>
      </c>
    </row>
    <row r="911" spans="1:2" x14ac:dyDescent="0.2">
      <c r="A911" s="1" t="s">
        <v>3130</v>
      </c>
      <c r="B911" s="1" t="str">
        <f ca="1">IFERROR(__xludf.DUMFUNCTION("GOOGLETRANSLATE(A959,""id"",""en"")"),"SELL JULY LIST OF  PERTALITE APPLICATION")</f>
        <v>SELL JULY LIST OF  PERTALITE APPLICATION</v>
      </c>
    </row>
    <row r="912" spans="1:2" x14ac:dyDescent="0.2">
      <c r="A912" s="1" t="s">
        <v>3131</v>
      </c>
      <c r="B912" s="1" t="str">
        <f ca="1">IFERROR(__xludf.DUMFUNCTION("GOOGLETRANSLATE(A960,""id"",""en"")"),"When you buy cooking oil using a protected curb and buy fuel using ")</f>
        <v xml:space="preserve">When you buy cooking oil using a protected curb and buy fuel using </v>
      </c>
    </row>
    <row r="913" spans="1:2" x14ac:dyDescent="0.2">
      <c r="A913" s="1" t="s">
        <v>3130</v>
      </c>
      <c r="B913" s="1" t="str">
        <f ca="1">IFERROR(__xludf.DUMFUNCTION("GOOGLETRANSLATE(A961,""id"",""en"")"),"SELL JULY LIST OF  PERTALITE APPLICATION")</f>
        <v>SELL JULY LIST OF  PERTALITE APPLICATION</v>
      </c>
    </row>
    <row r="914" spans="1:2" x14ac:dyDescent="0.2">
      <c r="A914" s="1" t="s">
        <v>3130</v>
      </c>
      <c r="B914" s="1" t="str">
        <f ca="1">IFERROR(__xludf.DUMFUNCTION("GOOGLETRANSLATE(A962,""id"",""en"")"),"SELL JULY LIST OF  PERTALITE APPLICATION")</f>
        <v>SELL JULY LIST OF  PERTALITE APPLICATION</v>
      </c>
    </row>
    <row r="915" spans="1:2" x14ac:dyDescent="0.2">
      <c r="A915" s="1" t="s">
        <v>3132</v>
      </c>
      <c r="B915" s="1" t="str">
        <f ca="1">IFERROR(__xludf.DUMFUNCTION("GOOGLETRANSLATE(A963,""id"",""en"")"),"already downloaded  blm")</f>
        <v>already downloaded  blm</v>
      </c>
    </row>
    <row r="916" spans="1:2" x14ac:dyDescent="0.2">
      <c r="A916" s="1" t="s">
        <v>3133</v>
      </c>
      <c r="B916" s="1" t="str">
        <f ca="1">IFERROR(__xludf.DUMFUNCTION("GOOGLETRANSLATE(A964,""id"",""en"")"),"Buy fuel fuel fuel using  applications Salur BBM Subsidized Sasar")</f>
        <v>Buy fuel fuel fuel using  applications Salur BBM Subsidized Sasar</v>
      </c>
    </row>
    <row r="917" spans="1:2" x14ac:dyDescent="0.2">
      <c r="A917" s="1" t="s">
        <v>3130</v>
      </c>
      <c r="B917" s="1" t="str">
        <f ca="1">IFERROR(__xludf.DUMFUNCTION("GOOGLETRANSLATE(A965,""id"",""en"")"),"SELL JULY LIST OF  PERTALITE APPLICATION")</f>
        <v>SELL JULY LIST OF  PERTALITE APPLICATION</v>
      </c>
    </row>
    <row r="918" spans="1:2" x14ac:dyDescent="0.2">
      <c r="A918" s="1" t="s">
        <v>3134</v>
      </c>
      <c r="B918" s="1" t="str">
        <f ca="1">IFERROR(__xludf.DUMFUNCTION("GOOGLETRANSLATE(A966,""id"",""en"")"),"Tomorrow the top wheels who must use ")</f>
        <v xml:space="preserve">Tomorrow the top wheels who must use </v>
      </c>
    </row>
    <row r="919" spans="1:2" x14ac:dyDescent="0.2">
      <c r="A919" s="1" t="s">
        <v>3135</v>
      </c>
      <c r="B919" s="1" t="str">
        <f ca="1">IFERROR(__xludf.DUMFUNCTION("GOOGLETRANSLATE(A967,""id"",""en"")")," Bewarajabar Open the list of the  July   Twitter website")</f>
        <v xml:space="preserve"> Bewarajabar Open the list of the  July   Twitter website</v>
      </c>
    </row>
    <row r="920" spans="1:2" x14ac:dyDescent="0.2">
      <c r="A920" s="1" t="s">
        <v>3130</v>
      </c>
      <c r="B920" s="1" t="str">
        <f ca="1">IFERROR(__xludf.DUMFUNCTION("GOOGLETRANSLATE(A968,""id"",""en"")"),"SELL JULY LIST OF  PERTALITE APPLICATION")</f>
        <v>SELL JULY LIST OF  PERTALITE APPLICATION</v>
      </c>
    </row>
    <row r="921" spans="1:2" x14ac:dyDescent="0.2">
      <c r="A921" s="1" t="s">
        <v>3136</v>
      </c>
      <c r="B921" s="1" t="str">
        <f ca="1">IFERROR(__xludf.DUMFUNCTION("GOOGLETRANSLATE(A969,""id"",""en"")"),"On July Buy Pertalite Via ")</f>
        <v xml:space="preserve">On July Buy Pertalite Via </v>
      </c>
    </row>
    <row r="922" spans="1:2" x14ac:dyDescent="0.2">
      <c r="A922" s="1" t="s">
        <v>3137</v>
      </c>
      <c r="B922" s="1" t="str">
        <f ca="1">IFERROR(__xludf.DUMFUNCTION("GOOGLETRANSLATE(A970,""id"",""en"")"),"plans to try using  bombs tomorrow try the car")</f>
        <v>plans to try using  bombs tomorrow try the car</v>
      </c>
    </row>
    <row r="923" spans="1:2" x14ac:dyDescent="0.2">
      <c r="A923" s="1" t="s">
        <v>3130</v>
      </c>
      <c r="B923" s="1" t="str">
        <f ca="1">IFERROR(__xludf.DUMFUNCTION("GOOGLETRANSLATE(A971,""id"",""en"")"),"SELL JULY LIST OF  PERTALITE APPLICATION")</f>
        <v>SELL JULY LIST OF  PERTALITE APPLICATION</v>
      </c>
    </row>
    <row r="924" spans="1:2" x14ac:dyDescent="0.2">
      <c r="A924" s="1" t="s">
        <v>3138</v>
      </c>
      <c r="B924" s="1" t="str">
        <f ca="1">IFERROR(__xludf.DUMFUNCTION("GOOGLETRANSLATE(A972,""id"",""en"")"),"just install  eehh pay you must use links to install well, it's all online gin ktp ku wis mbruwet photo reject the list")</f>
        <v>just install  eehh pay you must use links to install well, it's all online gin ktp ku wis mbruwet photo reject the list</v>
      </c>
    </row>
    <row r="925" spans="1:2" x14ac:dyDescent="0.2">
      <c r="A925" s="1" t="s">
        <v>3139</v>
      </c>
      <c r="B925" s="1" t="str">
        <f ca="1">IFERROR(__xludf.DUMFUNCTION("GOOGLETRANSLATE(A973,""id"",""en"")"),"Hayu Atuh Mabar ")</f>
        <v xml:space="preserve">Hayu Atuh Mabar </v>
      </c>
    </row>
    <row r="926" spans="1:2" x14ac:dyDescent="0.2">
      <c r="A926" s="1" t="s">
        <v>2522</v>
      </c>
      <c r="B926" s="1" t="str">
        <f ca="1">IFERROR(__xludf.DUMFUNCTION("GOOGLETRANSLATE(A974,""id"",""en"")"),"opponent the  kawan application")</f>
        <v>opponent the  kawan application</v>
      </c>
    </row>
    <row r="927" spans="1:2" x14ac:dyDescent="0.2">
      <c r="A927" s="1" t="s">
        <v>3140</v>
      </c>
      <c r="B927" s="1" t="str">
        <f ca="1">IFERROR(__xludf.DUMFUNCTION("GOOGLETRANSLATE(A975,""id"",""en"")")," application sells tomorrow to buy Pertalite Solar Qr Code")</f>
        <v xml:space="preserve"> application sells tomorrow to buy Pertalite Solar Qr Code</v>
      </c>
    </row>
    <row r="928" spans="1:2" x14ac:dyDescent="0.2">
      <c r="A928" s="1" t="s">
        <v>3141</v>
      </c>
      <c r="B928" s="1" t="str">
        <f ca="1">IFERROR(__xludf.DUMFUNCTION("GOOGLETRANSLATE(A976,""id"",""en"")"),"calm must buy fuel fuel fuel using  applications in the president")</f>
        <v>calm must buy fuel fuel fuel using  applications in the president</v>
      </c>
    </row>
    <row r="929" spans="1:2" x14ac:dyDescent="0.2">
      <c r="A929" s="1" t="s">
        <v>3142</v>
      </c>
      <c r="B929" s="1" t="str">
        <f ca="1">IFERROR(__xludf.DUMFUNCTION("GOOGLETRANSLATE(A977,""id"",""en"")"),"It's just weird  cares about protecting until now it doesn't download")</f>
        <v>It's just weird  cares about protecting until now it doesn't download</v>
      </c>
    </row>
    <row r="930" spans="1:2" x14ac:dyDescent="0.2">
      <c r="A930" s="1" t="s">
        <v>3143</v>
      </c>
      <c r="B930" s="1" t="str">
        <f ca="1">IFERROR(__xludf.DUMFUNCTION("GOOGLETRANSLATE(A978,""id"",""en"")"),"Pertalite Solar Buy a Gas Tube Mandatory List of ")</f>
        <v xml:space="preserve">Pertalite Solar Buy a Gas Tube Mandatory List of </v>
      </c>
    </row>
    <row r="931" spans="1:2" x14ac:dyDescent="0.2">
      <c r="A931" s="1" t="s">
        <v>3144</v>
      </c>
      <c r="B931" s="1" t="str">
        <f ca="1">IFERROR(__xludf.DUMFUNCTION("GOOGLETRANSLATE(A979,""id"",""en"")"),"Criticism for  PB HMI is difficult for the people to get BBM Covid on Thursday, Putin Secretary General of the United Nations Cimahi Ginting Vito Bakri Corbuzier Julia Roberts Maljum Friday Night Friday regime")</f>
        <v>Criticism for  PB HMI is difficult for the people to get BBM Covid on Thursday, Putin Secretary General of the United Nations Cimahi Ginting Vito Bakri Corbuzier Julia Roberts Maljum Friday Night Friday regime</v>
      </c>
    </row>
    <row r="932" spans="1:2" x14ac:dyDescent="0.2">
      <c r="A932" s="1" t="s">
        <v>3145</v>
      </c>
      <c r="B932" s="1" t="str">
        <f ca="1">IFERROR(__xludf.DUMFUNCTION("GOOGLETRANSLATE(A980,""id"",""en"")"),"Come on, guys, buy a solar pertalite using , it's easy")</f>
        <v>Come on, guys, buy a solar pertalite using , it's easy</v>
      </c>
    </row>
    <row r="933" spans="1:2" x14ac:dyDescent="0.2">
      <c r="A933" s="1" t="s">
        <v>3146</v>
      </c>
      <c r="B933" s="1" t="str">
        <f ca="1">IFERROR(__xludf.DUMFUNCTION("GOOGLETRANSLATE(A981,""id"",""en"")"),"CopotMenDongok Copotmenteridongkongk Dikan  Poor Review Google Play")</f>
        <v>CopotMenDongok Copotmenteridongkongk Dikan  Poor Review Google Play</v>
      </c>
    </row>
    <row r="934" spans="1:2" x14ac:dyDescent="0.2">
      <c r="A934" s="1" t="s">
        <v>3147</v>
      </c>
      <c r="B934" s="1" t="str">
        <f ca="1">IFERROR(__xludf.DUMFUNCTION("GOOGLETRANSLATE(A982,""id"",""en"")"),"Really, buy gasoline tomorrow using ")</f>
        <v xml:space="preserve">Really, buy gasoline tomorrow using </v>
      </c>
    </row>
    <row r="935" spans="1:2" x14ac:dyDescent="0.2">
      <c r="A935" s="1" t="s">
        <v>3148</v>
      </c>
      <c r="B935" s="1" t="str">
        <f ca="1">IFERROR(__xludf.DUMFUNCTION("GOOGLETRANSLATE(A983,""id"",""en"")"),"buy subsidized fuel using  the task of the Ciamis SPBU is sold")</f>
        <v>buy subsidized fuel using  the task of the Ciamis SPBU is sold</v>
      </c>
    </row>
    <row r="936" spans="1:2" x14ac:dyDescent="0.2">
      <c r="A936" s="1" t="s">
        <v>3149</v>
      </c>
      <c r="B936" s="1" t="str">
        <f ca="1">IFERROR(__xludf.DUMFUNCTION("GOOGLETRANSLATE(A984,""id"",""en"")"),"DPR Plenary Meeting Kesah Bill DOB Papua Autonomous Regional Forms Information LPG Kg Kg Application ")</f>
        <v xml:space="preserve">DPR Plenary Meeting Kesah Bill DOB Papua Autonomous Regional Forms Information LPG Kg Kg Application </v>
      </c>
    </row>
    <row r="937" spans="1:2" x14ac:dyDescent="0.2">
      <c r="A937" s="1" t="s">
        <v>3150</v>
      </c>
      <c r="B937" s="1" t="str">
        <f ca="1">IFERROR(__xludf.DUMFUNCTION("GOOGLETRANSLATE(A985,""id"",""en"")"),"Therapy Area Buy Pertalite Solar Using ")</f>
        <v xml:space="preserve">Therapy Area Buy Pertalite Solar Using </v>
      </c>
    </row>
    <row r="938" spans="1:2" x14ac:dyDescent="0.2">
      <c r="A938" s="1" t="s">
        <v>3151</v>
      </c>
      <c r="B938" s="1" t="str">
        <f ca="1">IFERROR(__xludf.DUMFUNCTION("GOOGLETRANSLATE(A986,""id"",""en"")"),"Buy BBM Using the  Application forbids Stophoax Dronesemprit Hoax Mobile")</f>
        <v>Buy BBM Using the  Application forbids Stophoax Dronesemprit Hoax Mobile</v>
      </c>
    </row>
    <row r="939" spans="1:2" x14ac:dyDescent="0.2">
      <c r="A939" s="1" t="s">
        <v>3152</v>
      </c>
      <c r="B939" s="1" t="str">
        <f ca="1">IFERROR(__xludf.DUMFUNCTION("GOOGLETRANSLATE(A987,""id"",""en"")")," application check the profit series features")</f>
        <v xml:space="preserve"> application check the profit series features</v>
      </c>
    </row>
    <row r="940" spans="1:2" x14ac:dyDescent="0.2">
      <c r="A940" s="1" t="s">
        <v>3153</v>
      </c>
      <c r="B940" s="1" t="str">
        <f ca="1">IFERROR(__xludf.DUMFUNCTION("GOOGLETRANSLATE(A988,""id"",""en"")"),"rkuhp oligarki  lmayan tu topik rame rame sii bijak nyeleneh aja klo nggak aparat yg nanganin leceh anak tu")</f>
        <v>rkuhp oligarki  lmayan tu topik rame rame sii bijak nyeleneh aja klo nggak aparat yg nanganin leceh anak tu</v>
      </c>
    </row>
    <row r="941" spans="1:2" x14ac:dyDescent="0.2">
      <c r="A941" s="1" t="s">
        <v>3154</v>
      </c>
      <c r="B941" s="1" t="str">
        <f ca="1">IFERROR(__xludf.DUMFUNCTION("GOOGLETRANSLATE(A989,""id"",""en"")"),"You are minimal literacy list of identity list identity  site access using mobile phones using computers people don't understand pretentious answer")</f>
        <v>You are minimal literacy list of identity list identity  site access using mobile phones using computers people don't understand pretentious answer</v>
      </c>
    </row>
    <row r="942" spans="1:2" x14ac:dyDescent="0.2">
      <c r="A942" s="1" t="s">
        <v>3155</v>
      </c>
      <c r="B942" s="1" t="str">
        <f ca="1">IFERROR(__xludf.DUMFUNCTION("GOOGLETRANSLATE(A990,""id"",""en"")"),"Wajipin boss's expectation using  trace the effectiveness of subsidized channels that are not a person who buy pertalite reality does not accept wise screenshots")</f>
        <v>Wajipin boss's expectation using  trace the effectiveness of subsidized channels that are not a person who buy pertalite reality does not accept wise screenshots</v>
      </c>
    </row>
    <row r="943" spans="1:2" x14ac:dyDescent="0.2">
      <c r="A943" s="1" t="s">
        <v>3156</v>
      </c>
      <c r="B943" s="1" t="str">
        <f ca="1">IFERROR(__xludf.DUMFUNCTION("GOOGLETRANSLATE(A991,""id"",""en"")"),"for the  application, it is quite an impact")</f>
        <v>for the  application, it is quite an impact</v>
      </c>
    </row>
    <row r="944" spans="1:2" x14ac:dyDescent="0.2">
      <c r="A944" s="1" t="s">
        <v>3157</v>
      </c>
      <c r="B944" s="1" t="str">
        <f ca="1">IFERROR(__xludf.DUMFUNCTION("GOOGLETRANSLATE(A992,""id"",""en"")")," Embossed Polemic PT  Duju for the application")</f>
        <v xml:space="preserve"> Embossed Polemic PT  Duju for the application</v>
      </c>
    </row>
    <row r="945" spans="1:2" x14ac:dyDescent="0.2">
      <c r="A945" s="1" t="s">
        <v>3158</v>
      </c>
      <c r="B945" s="1" t="str">
        <f ca="1">IFERROR(__xludf.DUMFUNCTION("GOOGLETRANSLATE(A993,""id"",""en"")"),"fuel fuel fuel transaction subsidy category of   SPBU SPBU APPLICATION BUY BBM SUBSIDI APPLICATION  Like the steps of the process of buying BBM")</f>
        <v>fuel fuel fuel transaction subsidy category of   SPBU SPBU APPLICATION BUY BBM SUBSIDI APPLICATION  Like the steps of the process of buying BBM</v>
      </c>
    </row>
    <row r="946" spans="1:2" x14ac:dyDescent="0.2">
      <c r="A946" s="1" t="s">
        <v>3159</v>
      </c>
      <c r="B946" s="1" t="str">
        <f ca="1">IFERROR(__xludf.DUMFUNCTION("GOOGLETRANSLATE(A995,""id"",""en"")"),"a list of identity identity  site access sites using mobile phones using computers people do not understand pretentious answer")</f>
        <v>a list of identity identity  site access sites using mobile phones using computers people do not understand pretentious answer</v>
      </c>
    </row>
    <row r="947" spans="1:2" x14ac:dyDescent="0.2">
      <c r="A947" s="1" t="s">
        <v>3160</v>
      </c>
      <c r="B947" s="1" t="str">
        <f ca="1">IFERROR(__xludf.DUMFUNCTION("GOOGLETRANSLATE(A996,""id"",""en"")"),"Oh yeah, I have to download , it's complicated")</f>
        <v>Oh yeah, I have to download , it's complicated</v>
      </c>
    </row>
    <row r="948" spans="1:2" x14ac:dyDescent="0.2">
      <c r="A948" s="1" t="s">
        <v>3161</v>
      </c>
      <c r="B948" s="1" t="str">
        <f ca="1">IFERROR(__xludf.DUMFUNCTION("GOOGLETRANSLATE(A997,""id"",""en"")"),"Pertalite if you buy pertalite drops using  aki sukidi task gas station drops, no price if it's free, if that's the case, please drop the motorbike aki until it's full")</f>
        <v>Pertalite if you buy pertalite drops using  aki sukidi task gas station drops, no price if it's free, if that's the case, please drop the motorbike aki until it's full</v>
      </c>
    </row>
    <row r="949" spans="1:2" x14ac:dyDescent="0.2">
      <c r="A949" s="1" t="s">
        <v>3162</v>
      </c>
      <c r="B949" s="1" t="str">
        <f ca="1">IFERROR(__xludf.DUMFUNCTION("GOOGLETRANSLATE(A998,""id"",""en"")"),"LG is delicious scroll twt huh tomorrow the contents of the gasoline using  deh Langsong change the GO GETTHY POM Full Tank Pom Fill M lazy tomorrow morning, the planned contents before going to work there, asking the mas, it's still not therap"&amp;"y")</f>
        <v>LG is delicious scroll twt huh tomorrow the contents of the gasoline using  deh Langsong change the GO GETTHY POM Full Tank Pom Fill M lazy tomorrow morning, the planned contents before going to work there, asking the mas, it's still not therapy</v>
      </c>
    </row>
    <row r="950" spans="1:2" x14ac:dyDescent="0.2">
      <c r="A950" s="1" t="s">
        <v>3163</v>
      </c>
      <c r="B950" s="1" t="str">
        <f ca="1">IFERROR(__xludf.DUMFUNCTION("GOOGLETRANSLATE(A999,""id"",""en"")"),"Using  the paylatner feature is to buy gasoline and pay in installments")</f>
        <v>Using  the paylatner feature is to buy gasoline and pay in installments</v>
      </c>
    </row>
    <row r="951" spans="1:2" x14ac:dyDescent="0.2">
      <c r="A951" s="1" t="s">
        <v>3164</v>
      </c>
      <c r="B951" s="1" t="str">
        <f ca="1">IFERROR(__xludf.DUMFUNCTION("GOOGLETRANSLATE(A1000,""id"",""en"")"),"buy fuel subsidized  application")</f>
        <v>buy fuel subsidized  application</v>
      </c>
    </row>
    <row r="952" spans="1:2" x14ac:dyDescent="0.2">
      <c r="A952" s="1" t="s">
        <v>3165</v>
      </c>
      <c r="B952" s="1" t="str">
        <f ca="1">IFERROR(__xludf.DUMFUNCTION("GOOGLETRANSLATE(A1001,""id"",""en"")"),"Friday July Buy Pertalite Solar Using   Application")</f>
        <v>Friday July Buy Pertalite Solar Using   Application</v>
      </c>
    </row>
    <row r="953" spans="1:2" x14ac:dyDescent="0.2">
      <c r="A953" s="1" t="s">
        <v>3166</v>
      </c>
      <c r="B953" s="1" t="str">
        <f ca="1">IFERROR(__xludf.DUMFUNCTION("GOOGLETRANSLATE(A1002,""id"",""en"")"),"don't use the  application, guys cash list websites")</f>
        <v>don't use the  application, guys cash list websites</v>
      </c>
    </row>
    <row r="954" spans="1:2" x14ac:dyDescent="0.2">
      <c r="A954" s="1" t="s">
        <v>3167</v>
      </c>
      <c r="B954" s="1" t="str">
        <f ca="1">IFERROR(__xludf.DUMFUNCTION("GOOGLETRANSLATE(A1003,""id"",""en"")"),"ora take care of mbah mbah basic kabeh kudu nduwe ")</f>
        <v xml:space="preserve">ora take care of mbah mbah basic kabeh kudu nduwe </v>
      </c>
    </row>
    <row r="955" spans="1:2" x14ac:dyDescent="0.2">
      <c r="A955" s="1" t="s">
        <v>3168</v>
      </c>
      <c r="B955" s="1" t="str">
        <f ca="1">IFERROR(__xludf.DUMFUNCTION("GOOGLETRANSLATE(A1004,""id"",""en"")"),"Install  dlu")</f>
        <v>Install  dlu</v>
      </c>
    </row>
    <row r="956" spans="1:2" x14ac:dyDescent="0.2">
      <c r="A956" s="1" t="s">
        <v>3169</v>
      </c>
      <c r="B956" s="1" t="str">
        <f ca="1">IFERROR(__xludf.DUMFUNCTION("GOOGLETRANSLATE(A1005,""id"",""en"")"),"July Tomorrow Guys Buy Pertalite Solar List  Yes Guys Testing Areas")</f>
        <v>July Tomorrow Guys Buy Pertalite Solar List  Yes Guys Testing Areas</v>
      </c>
    </row>
    <row r="957" spans="1:2" x14ac:dyDescent="0.2">
      <c r="A957" s="1" t="s">
        <v>3170</v>
      </c>
      <c r="B957" s="1" t="str">
        <f ca="1">IFERROR(__xludf.DUMFUNCTION("GOOGLETRANSLATE(A1006,""id"",""en"")"),"Seriously ask for bsk already buy gasoline must use the  application")</f>
        <v>Seriously ask for bsk already buy gasoline must use the  application</v>
      </c>
    </row>
    <row r="958" spans="1:2" x14ac:dyDescent="0.2">
      <c r="A958" s="1" t="s">
        <v>3171</v>
      </c>
      <c r="B958" s="1" t="str">
        <f ca="1">IFERROR(__xludf.DUMFUNCTION("GOOGLETRANSLATE(A1007,""id"",""en"")"),"yes, why don't you use ")</f>
        <v xml:space="preserve">yes, why don't you use </v>
      </c>
    </row>
    <row r="959" spans="1:2" x14ac:dyDescent="0.2">
      <c r="A959" s="1" t="s">
        <v>3172</v>
      </c>
      <c r="B959" s="1" t="str">
        <f ca="1">IFERROR(__xludf.DUMFUNCTION("GOOGLETRANSLATE(A1008,""id"",""en"")"),"Fill gasoline really using  euy")</f>
        <v>Fill gasoline really using  euy</v>
      </c>
    </row>
    <row r="960" spans="1:2" x14ac:dyDescent="0.2">
      <c r="A960" s="1" t="s">
        <v>3173</v>
      </c>
      <c r="B960" s="1" t="str">
        <f ca="1">IFERROR(__xludf.DUMFUNCTION("GOOGLETRANSLATE(A1009,""id"",""en"")"),"complicated though using ")</f>
        <v xml:space="preserve">complicated though using </v>
      </c>
    </row>
    <row r="961" spans="1:2" x14ac:dyDescent="0.2">
      <c r="A961" s="1" t="s">
        <v>3174</v>
      </c>
      <c r="B961" s="1" t="str">
        <f ca="1">IFERROR(__xludf.DUMFUNCTION("GOOGLETRANSLATE(A1010,""id"",""en"")"),"Caring for Protection DH Tentelem Rising ")</f>
        <v xml:space="preserve">Caring for Protection DH Tentelem Rising </v>
      </c>
    </row>
    <row r="962" spans="1:2" x14ac:dyDescent="0.2">
      <c r="A962" s="1" t="s">
        <v>3175</v>
      </c>
      <c r="B962" s="1" t="str">
        <f ca="1">IFERROR(__xludf.DUMFUNCTION("GOOGLETRANSLATE(A1011,""id"",""en"")"),"buy gas kg using the  application wkwk")</f>
        <v>buy gas kg using the  application wkwk</v>
      </c>
    </row>
    <row r="963" spans="1:2" x14ac:dyDescent="0.2">
      <c r="A963" s="1" t="s">
        <v>3176</v>
      </c>
      <c r="B963" s="1" t="str">
        <f ca="1">IFERROR(__xludf.DUMFUNCTION("GOOGLETRANSLATE(A1012,""id"",""en"")")," Apk")</f>
        <v xml:space="preserve"> Apk</v>
      </c>
    </row>
    <row r="964" spans="1:2" x14ac:dyDescent="0.2">
      <c r="A964" s="1" t="s">
        <v>3177</v>
      </c>
      <c r="B964" s="1" t="str">
        <f ca="1">IFERROR(__xludf.DUMFUNCTION("GOOGLETRANSLATE(A1013,""id"",""en"")"),"try downloading  yaaaa according to expectations for luck I use Shell")</f>
        <v>try downloading  yaaaa according to expectations for luck I use Shell</v>
      </c>
    </row>
    <row r="965" spans="1:2" x14ac:dyDescent="0.2">
      <c r="A965" s="1" t="s">
        <v>61</v>
      </c>
      <c r="B965" s="1" t="str">
        <f ca="1">IFERROR(__xludf.DUMFUNCTION("GOOGLETRANSLATE(A1014,""id"",""en"")"),"Friend help list your consultation booth friend")</f>
        <v>Friend help list your consultation booth friend</v>
      </c>
    </row>
    <row r="966" spans="1:2" x14ac:dyDescent="0.2">
      <c r="A966" s="1" t="s">
        <v>3178</v>
      </c>
      <c r="B966" s="1" t="str">
        <f ca="1">IFERROR(__xludf.DUMFUNCTION("GOOGLETRANSLATE(A1015,""id"",""en"")"),"the person who makes the  application doesn't shake when the paradise door tells the scan")</f>
        <v>the person who makes the  application doesn't shake when the paradise door tells the scan</v>
      </c>
    </row>
    <row r="967" spans="1:2" x14ac:dyDescent="0.2">
      <c r="A967" s="1" t="s">
        <v>3179</v>
      </c>
      <c r="B967" s="1" t="str">
        <f ca="1">IFERROR(__xludf.DUMFUNCTION("GOOGLETRANSLATE(A1016,""id"",""en"")"),"back the complicated not  ui is also comfortable, if the app is commerce if the UX looks like it appears yet, it hasn't been mesen with gasoline using the app.")</f>
        <v>back the complicated not  ui is also comfortable, if the app is commerce if the UX looks like it appears yet, it hasn't been mesen with gasoline using the app.</v>
      </c>
    </row>
    <row r="968" spans="1:2" x14ac:dyDescent="0.2">
      <c r="A968" s="1" t="s">
        <v>3180</v>
      </c>
      <c r="B968" s="1" t="str">
        <f ca="1">IFERROR(__xludf.DUMFUNCTION("GOOGLETRANSLATE(A1017,""id"",""en"")"),"Hayoo tomorrow buy gasoline using ")</f>
        <v xml:space="preserve">Hayoo tomorrow buy gasoline using </v>
      </c>
    </row>
    <row r="969" spans="1:2" x14ac:dyDescent="0.2">
      <c r="A969" s="1" t="s">
        <v>3181</v>
      </c>
      <c r="B969" s="1" t="str">
        <f ca="1">IFERROR(__xludf.DUMFUNCTION("GOOGLETRANSLATE(A1018,""id"",""en"")"),"If you buy BBM using the  application, it's easy")</f>
        <v>If you buy BBM using the  application, it's easy</v>
      </c>
    </row>
    <row r="970" spans="1:2" x14ac:dyDescent="0.2">
      <c r="A970" s="1" t="s">
        <v>3182</v>
      </c>
      <c r="B970" s="1" t="str">
        <f ca="1">IFERROR(__xludf.DUMFUNCTION("GOOGLETRANSLATE(A1019,""id"",""en"")"),"Buy Pertalite Using  Amat Ii Spicy Criticism Reads News Now Easy To Be Comfortable Downloading the INILAHCOM IOS Android Application")</f>
        <v>Buy Pertalite Using  Amat Ii Spicy Criticism Reads News Now Easy To Be Comfortable Downloading the INILAHCOM IOS Android Application</v>
      </c>
    </row>
    <row r="971" spans="1:2" x14ac:dyDescent="0.2">
      <c r="A971" s="1" t="s">
        <v>3183</v>
      </c>
      <c r="B971" s="1" t="str">
        <f ca="1">IFERROR(__xludf.DUMFUNCTION("GOOGLETRANSLATE(A1020,""id"",""en"")"),"Cimahi doesn't need to use  seriously ask")</f>
        <v>Cimahi doesn't need to use  seriously ask</v>
      </c>
    </row>
    <row r="972" spans="1:2" x14ac:dyDescent="0.2">
      <c r="A972" s="1" t="s">
        <v>3184</v>
      </c>
      <c r="B972" s="1" t="str">
        <f ca="1">IFERROR(__xludf.DUMFUNCTION("GOOGLETRANSLATE(A1021,""id"",""en"")"),"wkwkw Fucking  Fortunately Using Pertamax")</f>
        <v>wkwkw Fucking  Fortunately Using Pertamax</v>
      </c>
    </row>
    <row r="973" spans="1:2" x14ac:dyDescent="0.2">
      <c r="A973" s="1" t="s">
        <v>3032</v>
      </c>
      <c r="B973" s="1" t="str">
        <f ca="1">IFERROR(__xludf.DUMFUNCTION("GOOGLETRANSLATE(A1022,""id"",""en"")")," Try a lot of promos ky buy literal litas free gas stations and keep the toilet")</f>
        <v xml:space="preserve"> Try a lot of promos ky buy literal litas free gas stations and keep the toilet</v>
      </c>
    </row>
    <row r="974" spans="1:2" x14ac:dyDescent="0.2">
      <c r="A974" s="1" t="s">
        <v>60</v>
      </c>
      <c r="B974" s="1" t="str">
        <f ca="1">IFERROR(__xludf.DUMFUNCTION("GOOGLETRANSLATE(A1023,""id"",""en"")"),"list of buying fuel subsidies pages")</f>
        <v>list of buying fuel subsidies pages</v>
      </c>
    </row>
    <row r="975" spans="1:2" x14ac:dyDescent="0.2">
      <c r="A975" s="1" t="s">
        <v>3185</v>
      </c>
      <c r="B975" s="1" t="str">
        <f ca="1">IFERROR(__xludf.DUMFUNCTION("GOOGLETRANSLATE(A1024,""id"",""en"")")," Pandu Book")</f>
        <v xml:space="preserve"> Pandu Book</v>
      </c>
    </row>
    <row r="976" spans="1:2" x14ac:dyDescent="0.2">
      <c r="A976" s="1" t="s">
        <v>3186</v>
      </c>
      <c r="B976" s="1" t="str">
        <f ca="1">IFERROR(__xludf.DUMFUNCTION("GOOGLETRANSLATE(A1025,""id"",""en"")")," So the data fields that data take the responsibility of the address of the application no application")</f>
        <v xml:space="preserve"> So the data fields that data take the responsibility of the address of the application no application</v>
      </c>
    </row>
    <row r="977" spans="1:2" x14ac:dyDescent="0.2">
      <c r="A977" s="1" t="s">
        <v>3187</v>
      </c>
      <c r="B977" s="1" t="str">
        <f ca="1">IFERROR(__xludf.DUMFUNCTION("GOOGLETRANSLATE(A1026,""id"",""en"")"),"Yoi Anti Install App  Deleting App hard")</f>
        <v>Yoi Anti Install App  Deleting App hard</v>
      </c>
    </row>
    <row r="978" spans="1:2" x14ac:dyDescent="0.2">
      <c r="A978" s="1" t="s">
        <v>3188</v>
      </c>
      <c r="B978" s="1" t="str">
        <f ca="1">IFERROR(__xludf.DUMFUNCTION("GOOGLETRANSLATE(A1027,""id"",""en"")"),"you know what the  application is fortunate not to queue for poms when I really fill it because it runs out of gas.")</f>
        <v>you know what the  application is fortunate not to queue for poms when I really fill it because it runs out of gas.</v>
      </c>
    </row>
    <row r="979" spans="1:2" x14ac:dyDescent="0.2">
      <c r="A979" s="1" t="s">
        <v>2458</v>
      </c>
      <c r="B979" s="1" t="str">
        <f ca="1">IFERROR(__xludf.DUMFUNCTION("GOOGLETRANSLATE(A1028,""id"",""en"")"),"List of BBM subsidies for a special  website")</f>
        <v>List of BBM subsidies for a special  website</v>
      </c>
    </row>
    <row r="980" spans="1:2" x14ac:dyDescent="0.2">
      <c r="A980" s="1" t="s">
        <v>3189</v>
      </c>
      <c r="B980" s="1" t="str">
        <f ca="1">IFERROR(__xludf.DUMFUNCTION("GOOGLETRANSLATE(A1029,""id"",""en"")"),"Install   Link Linkaja Pin Incorrect Create an account number that connects  Linkaja Block Solutions")</f>
        <v>Install   Link Linkaja Pin Incorrect Create an account number that connects  Linkaja Block Solutions</v>
      </c>
    </row>
    <row r="981" spans="1:2" x14ac:dyDescent="0.2">
      <c r="A981" s="1" t="s">
        <v>3190</v>
      </c>
      <c r="B981" s="1" t="str">
        <f ca="1">IFERROR(__xludf.DUMFUNCTION("GOOGLETRANSLATE(A1030,""id"",""en"")"),"udh donlod ")</f>
        <v xml:space="preserve">udh donlod </v>
      </c>
    </row>
    <row r="982" spans="1:2" x14ac:dyDescent="0.2">
      <c r="A982" s="1" t="s">
        <v>3191</v>
      </c>
      <c r="B982" s="1" t="str">
        <f ca="1">IFERROR(__xludf.DUMFUNCTION("GOOGLETRANSLATE(A1031,""id"",""en"")"),"POV Fill gasoline using the  application")</f>
        <v>POV Fill gasoline using the  application</v>
      </c>
    </row>
    <row r="983" spans="1:2" x14ac:dyDescent="0.2">
      <c r="A983" s="1" t="s">
        <v>3192</v>
      </c>
      <c r="B983" s="1" t="str">
        <f ca="1">IFERROR(__xludf.DUMFUNCTION("GOOGLETRANSLATE(A1032,""id"",""en"")"),"indeed  ad")</f>
        <v>indeed  ad</v>
      </c>
    </row>
    <row r="984" spans="1:2" x14ac:dyDescent="0.2">
      <c r="A984" s="1" t="s">
        <v>3193</v>
      </c>
      <c r="B984" s="1" t="str">
        <f ca="1">IFERROR(__xludf.DUMFUNCTION("GOOGLETRANSLATE(A1033,""id"",""en"")"),"legislator for easy  application")</f>
        <v>legislator for easy  application</v>
      </c>
    </row>
    <row r="985" spans="1:2" x14ac:dyDescent="0.2">
      <c r="A985" s="1" t="s">
        <v>3194</v>
      </c>
      <c r="B985" s="1" t="str">
        <f ca="1">IFERROR(__xludf.DUMFUNCTION("GOOGLETRANSLATE(A1034,""id"",""en"")")," Low Rating Star Agam Negative Google Play Store")</f>
        <v xml:space="preserve"> Low Rating Star Agam Negative Google Play Store</v>
      </c>
    </row>
    <row r="986" spans="1:2" x14ac:dyDescent="0.2">
      <c r="A986" s="1" t="s">
        <v>3195</v>
      </c>
      <c r="B986" s="1" t="str">
        <f ca="1">IFERROR(__xludf.DUMFUNCTION("GOOGLETRANSLATE(A1035,""id"",""en"")")," check")</f>
        <v xml:space="preserve"> check</v>
      </c>
    </row>
    <row r="987" spans="1:2" x14ac:dyDescent="0.2">
      <c r="A987" s="1" t="s">
        <v>2776</v>
      </c>
      <c r="B987" s="1" t="str">
        <f ca="1">IFERROR(__xludf.DUMFUNCTION("GOOGLETRANSLATE(A1036,""id"",""en"")")," Business Secretary Patra Niaga Irto Ginting The Terms of Buying LPG Kg Kg Kg Society  Application")</f>
        <v xml:space="preserve"> Business Secretary Patra Niaga Irto Ginting The Terms of Buying LPG Kg Kg Kg Society  Application</v>
      </c>
    </row>
    <row r="988" spans="1:2" x14ac:dyDescent="0.2">
      <c r="A988" s="1" t="s">
        <v>3196</v>
      </c>
      <c r="B988" s="1" t="str">
        <f ca="1">IFERROR(__xludf.DUMFUNCTION("GOOGLETRANSLATE(A1037,""id"",""en"")"),"July buy Pertalite amp Solar List  Let's read the facts of guys to make it wrong")</f>
        <v>July buy Pertalite amp Solar List  Let's read the facts of guys to make it wrong</v>
      </c>
    </row>
    <row r="989" spans="1:2" x14ac:dyDescent="0.2">
      <c r="A989" s="1" t="s">
        <v>3197</v>
      </c>
      <c r="B989" s="1" t="str">
        <f ca="1">IFERROR(__xludf.DUMFUNCTION("GOOGLETRANSLATE(A1038,""id"",""en"")"),"ooo buy a solar pertalite using  kendara wheel")</f>
        <v>ooo buy a solar pertalite using  kendara wheel</v>
      </c>
    </row>
    <row r="990" spans="1:2" x14ac:dyDescent="0.2">
      <c r="A990" s="1" t="s">
        <v>3198</v>
      </c>
      <c r="B990" s="1" t="str">
        <f ca="1">IFERROR(__xludf.DUMFUNCTION("GOOGLETRANSLATE(A1039,""id"",""en"")"),"SemarangPedia List of BBM subsidies Special  Website Special Roda Bbmbersidi Jakarta Registration BBMSubsidilewatwebsitekhusakhusi for  Semarang Pedia's EDUCATION")</f>
        <v>SemarangPedia List of BBM subsidies Special  Website Special Roda Bbmbersidi Jakarta Registration BBMSubsidilewatwebsitekhusakhusi for  Semarang Pedia's EDUCATION</v>
      </c>
    </row>
    <row r="991" spans="1:2" x14ac:dyDescent="0.2">
      <c r="A991" s="1" t="s">
        <v>3199</v>
      </c>
      <c r="B991" s="1" t="str">
        <f ca="1">IFERROR(__xludf.DUMFUNCTION("GOOGLETRANSLATE(A1040,""id"",""en"")"),"Tomorrow the filling of the gasoline already uses  then  lovely wife")</f>
        <v>Tomorrow the filling of the gasoline already uses  then  lovely wife</v>
      </c>
    </row>
    <row r="992" spans="1:2" x14ac:dyDescent="0.2">
      <c r="A992" s="1" t="s">
        <v>3200</v>
      </c>
      <c r="B992" s="1" t="str">
        <f ca="1">IFERROR(__xludf.DUMFUNCTION("GOOGLETRANSLATE(A1041,""id"",""en"")"),"motor ora nggo  sis")</f>
        <v>motor ora nggo  sis</v>
      </c>
    </row>
    <row r="993" spans="1:2" x14ac:dyDescent="0.2">
      <c r="A993" s="1" t="s">
        <v>3201</v>
      </c>
      <c r="B993" s="1" t="str">
        <f ca="1">IFERROR(__xludf.DUMFUNCTION("GOOGLETRANSLATE(A1042,""id"",""en"")"),"who says  motorbike download is really wild opinion netizens")</f>
        <v>who says  motorbike download is really wild opinion netizens</v>
      </c>
    </row>
    <row r="994" spans="1:2" x14ac:dyDescent="0.2">
      <c r="A994" s="1" t="s">
        <v>3133</v>
      </c>
      <c r="B994" s="1" t="str">
        <f ca="1">IFERROR(__xludf.DUMFUNCTION("GOOGLETRANSLATE(A1043,""id"",""en"")"),"Buy fuel fuel fuel using  applications Salur BBM Subsidized Sasar")</f>
        <v>Buy fuel fuel fuel using  applications Salur BBM Subsidized Sasar</v>
      </c>
    </row>
    <row r="995" spans="1:2" x14ac:dyDescent="0.2">
      <c r="A995" s="1" t="s">
        <v>3202</v>
      </c>
      <c r="B995" s="1" t="str">
        <f ca="1">IFERROR(__xludf.DUMFUNCTION("GOOGLETRANSLATE(A1044,""id"",""en"")"),"Alas Install the  application so it's easy to buy pertalite so that it gives a playstore review")</f>
        <v>Alas Install the  application so it's easy to buy pertalite so that it gives a playstore review</v>
      </c>
    </row>
    <row r="996" spans="1:2" x14ac:dyDescent="0.2">
      <c r="A996" s="1" t="s">
        <v>3203</v>
      </c>
      <c r="B996" s="1" t="str">
        <f ca="1">IFERROR(__xludf.DUMFUNCTION("GOOGLETRANSLATE(A1045,""id"",""en"")"),"Kendara Motor Roda List  Special Car Wheel Cekidot GT GT GT")</f>
        <v>Kendara Motor Roda List  Special Car Wheel Cekidot GT GT GT</v>
      </c>
    </row>
    <row r="997" spans="1:2" x14ac:dyDescent="0.2">
      <c r="A997" s="1" t="s">
        <v>3204</v>
      </c>
      <c r="B997" s="1" t="str">
        <f ca="1">IFERROR(__xludf.DUMFUNCTION("GOOGLETRANSLATE(A1046,""id"",""en"")"),"The one from yesterday was discussed the  if the technology was simply, please help the technology but if the gap device was what, what do you do")</f>
        <v>The one from yesterday was discussed the  if the technology was simply, please help the technology but if the gap device was what, what do you do</v>
      </c>
    </row>
    <row r="998" spans="1:2" x14ac:dyDescent="0.2">
      <c r="A998" s="1" t="s">
        <v>3205</v>
      </c>
      <c r="B998" s="1" t="str">
        <f ca="1">IFERROR(__xludf.DUMFUNCTION("GOOGLETRANSLATE(A1047,""id"",""en"")")," sis")</f>
        <v xml:space="preserve"> sis</v>
      </c>
    </row>
    <row r="999" spans="1:2" x14ac:dyDescent="0.2">
      <c r="A999" s="1" t="s">
        <v>3206</v>
      </c>
      <c r="B999" s="1" t="str">
        <f ca="1">IFERROR(__xludf.DUMFUNCTION("GOOGLETRANSLATE(A1048,""id"",""en"")"),"Install  don't know the seat scoopy seat handlebar seat key")</f>
        <v>Install  don't know the seat scoopy seat handlebar seat key</v>
      </c>
    </row>
    <row r="1000" spans="1:2" x14ac:dyDescent="0.2">
      <c r="A1000" s="1" t="s">
        <v>3207</v>
      </c>
      <c r="B1000" s="1" t="str">
        <f ca="1">IFERROR(__xludf.DUMFUNCTION("GOOGLETRANSLATE(A1049,""id"",""en"")"),"buy fuel fuel fuel using the  sub -fuel sub -fuel application")</f>
        <v>buy fuel fuel fuel using the  sub -fuel sub -fuel application</v>
      </c>
    </row>
    <row r="1001" spans="1:2" x14ac:dyDescent="0.2">
      <c r="A1001" s="1" t="s">
        <v>3046</v>
      </c>
      <c r="B1001" s="1" t="str">
        <f ca="1">IFERROR(__xludf.DUMFUNCTION("GOOGLETRANSLATE(A1050,""id"",""en"")"),"List of  Applications Read Info Gaes July BBM Limits SUBSIDI OPEN ENERGIZINGYOU ENERGIZINGYOURFUTURE")</f>
        <v>List of  Applications Read Info Gaes July BBM Limits SUBSIDI OPEN ENERGIZINGYOU ENERGIZINGYOURFUTURE</v>
      </c>
    </row>
    <row r="1002" spans="1:2" x14ac:dyDescent="0.2">
      <c r="A1002" s="1" t="s">
        <v>3208</v>
      </c>
      <c r="B1002" s="1" t="str">
        <f ca="1">IFERROR(__xludf.DUMFUNCTION("GOOGLETRANSLATE(A1051,""id"",""en"")"),"Fill BBM The  Organda Ciamis Application Threatens Mass Strike")</f>
        <v>Fill BBM The  Organda Ciamis Application Threatens Mass Strike</v>
      </c>
    </row>
    <row r="1003" spans="1:2" x14ac:dyDescent="0.2">
      <c r="A1003" s="1" t="s">
        <v>3209</v>
      </c>
      <c r="B1003" s="1" t="str">
        <f ca="1">IFERROR(__xludf.DUMFUNCTION("GOOGLETRANSLATE(A1052,""id"",""en"")")," is certainly for the Special Wheel  application")</f>
        <v xml:space="preserve"> is certainly for the Special Wheel  application</v>
      </c>
    </row>
    <row r="1004" spans="1:2" x14ac:dyDescent="0.2">
      <c r="A1004" s="1" t="s">
        <v>3210</v>
      </c>
      <c r="B1004" s="1" t="str">
        <f ca="1">IFERROR(__xludf.DUMFUNCTION("GOOGLETRANSLATE(A1053,""id"",""en"")"),"Boro Install  Open HP Dah Notif Full Storage")</f>
        <v>Boro Install  Open HP Dah Notif Full Storage</v>
      </c>
    </row>
    <row r="1005" spans="1:2" x14ac:dyDescent="0.2">
      <c r="A1005" s="1" t="s">
        <v>3211</v>
      </c>
      <c r="B1005" s="1" t="str">
        <f ca="1">IFERROR(__xludf.DUMFUNCTION("GOOGLETRANSLATE(A1054,""id"",""en"")")," Help BBM Subsidized Salang is misused")</f>
        <v xml:space="preserve"> Help BBM Subsidized Salang is misused</v>
      </c>
    </row>
    <row r="1006" spans="1:2" x14ac:dyDescent="0.2">
      <c r="A1006" s="1" t="s">
        <v>3212</v>
      </c>
      <c r="B1006" s="1" t="str">
        <f ca="1">IFERROR(__xludf.DUMFUNCTION("GOOGLETRANSLATE(A1055,""id"",""en"")"),"yes look at  buying gas kg buy pertalite not thinking about people who need smartphone goods")</f>
        <v>yes look at  buying gas kg buy pertalite not thinking about people who need smartphone goods</v>
      </c>
    </row>
    <row r="1007" spans="1:2" x14ac:dyDescent="0.2">
      <c r="A1007" s="1" t="s">
        <v>3063</v>
      </c>
      <c r="B1007" s="1" t="str">
        <f ca="1">IFERROR(__xludf.DUMFUNCTION("GOOGLETRANSLATE(A1056,""id"",""en"")"),"Pertalite Solar  People Buy Melon Gas Using  Application")</f>
        <v>Pertalite Solar  People Buy Melon Gas Using  Application</v>
      </c>
    </row>
    <row r="1008" spans="1:2" x14ac:dyDescent="0.2">
      <c r="A1008" s="1" t="s">
        <v>62</v>
      </c>
      <c r="B1008" s="1" t="str">
        <f ca="1">IFERROR(__xludf.DUMFUNCTION("GOOGLETRANSLATE(A1057,""id"",""en"")"),"a hero of afternoon white shirt black pants black shoes")</f>
        <v>a hero of afternoon white shirt black pants black shoes</v>
      </c>
    </row>
    <row r="1009" spans="1:2" x14ac:dyDescent="0.2">
      <c r="A1009" s="1" t="s">
        <v>3213</v>
      </c>
      <c r="B1009" s="1" t="str">
        <f ca="1">IFERROR(__xludf.DUMFUNCTION("GOOGLETRANSLATE(A1058,""id"",""en"")"),"Bdg Mesler Bengsin uses  cimohay teu using  but using cicis meserna")</f>
        <v>Bdg Mesler Bengsin uses  cimohay teu using  but using cicis meserna</v>
      </c>
    </row>
    <row r="1010" spans="1:2" x14ac:dyDescent="0.2">
      <c r="A1010" s="1" t="s">
        <v>3214</v>
      </c>
      <c r="B1010" s="1" t="str">
        <f ca="1">IFERROR(__xludf.DUMFUNCTION("GOOGLETRANSLATE(A1059,""id"",""en"")"),"I don't have the money, I don't have a salary, I use the leaves, thank you, Cam, if you don't have a market fit, you see,  friend in front of the work, if you have a boomer below, but still the performance of the boss's tara")</f>
        <v>I don't have the money, I don't have a salary, I use the leaves, thank you, Cam, if you don't have a market fit, you see,  friend in front of the work, if you have a boomer below, but still the performance of the boss's tara</v>
      </c>
    </row>
    <row r="1011" spans="1:2" x14ac:dyDescent="0.2">
      <c r="A1011" s="1" t="s">
        <v>3215</v>
      </c>
      <c r="B1011" s="1" t="str">
        <f ca="1">IFERROR(__xludf.DUMFUNCTION("GOOGLETRANSLATE(A1060,""id"",""en"")"),"Halah  mending  first hpert")</f>
        <v>Halah  mending  first hpert</v>
      </c>
    </row>
    <row r="1012" spans="1:2" x14ac:dyDescent="0.2">
      <c r="A1012" s="1" t="s">
        <v>3216</v>
      </c>
      <c r="B1012" s="1" t="str">
        <f ca="1">IFERROR(__xludf.DUMFUNCTION("GOOGLETRANSLATE(A1061,""id"",""en"")"),"The list of  minimizes subsidized abuse")</f>
        <v>The list of  minimizes subsidized abuse</v>
      </c>
    </row>
    <row r="1013" spans="1:2" x14ac:dyDescent="0.2">
      <c r="A1013" s="1" t="s">
        <v>3217</v>
      </c>
      <c r="B1013" s="1" t="str">
        <f ca="1">IFERROR(__xludf.DUMFUNCTION("GOOGLETRANSLATE(A1062,""id"",""en"")"),"Lo Ln Mo Hindar Protest Bill Kuhp Sm Protest ")</f>
        <v xml:space="preserve">Lo Ln Mo Hindar Protest Bill Kuhp Sm Protest </v>
      </c>
    </row>
    <row r="1014" spans="1:2" x14ac:dyDescent="0.2">
      <c r="A1014" s="1" t="s">
        <v>3218</v>
      </c>
      <c r="B1014" s="1" t="str">
        <f ca="1">IFERROR(__xludf.DUMFUNCTION("GOOGLETRANSLATE(A1063,""id"",""en"")"),"wisely buy fuel fuel fuel subsidized for  digital application very criticism")</f>
        <v>wisely buy fuel fuel fuel subsidized for  digital application very criticism</v>
      </c>
    </row>
    <row r="1015" spans="1:2" x14ac:dyDescent="0.2">
      <c r="A1015" s="1" t="s">
        <v>3219</v>
      </c>
      <c r="B1015" s="1" t="str">
        <f ca="1">IFERROR(__xludf.DUMFUNCTION("GOOGLETRANSLATE(A1064,""id"",""en"")"),"Already Installing  Application")</f>
        <v>Already Installing  Application</v>
      </c>
    </row>
    <row r="1016" spans="1:2" x14ac:dyDescent="0.2">
      <c r="A1016" s="1" t="s">
        <v>3220</v>
      </c>
      <c r="B1016" s="1" t="str">
        <f ca="1">IFERROR(__xludf.DUMFUNCTION("GOOGLETRANSLATE(A1065,""id"",""en"")"),"how come it's bestie, I don't download the  application, I shadow a pertalite consumer who is not dev")</f>
        <v>how come it's bestie, I don't download the  application, I shadow a pertalite consumer who is not dev</v>
      </c>
    </row>
    <row r="1017" spans="1:2" x14ac:dyDescent="0.2">
      <c r="A1017" s="1" t="s">
        <v>3221</v>
      </c>
      <c r="B1017" s="1" t="str">
        <f ca="1">IFERROR(__xludf.DUMFUNCTION("GOOGLETRANSLATE(A1066,""id"",""en"")"),"Business practice is not feasible to become an Economic BUMN Cost that is the burden of the community exactly with  link, it must be cuan the victims of the victims will proudly report money on the results of the results of the business")</f>
        <v>Business practice is not feasible to become an Economic BUMN Cost that is the burden of the community exactly with  link, it must be cuan the victims of the victims will proudly report money on the results of the results of the business</v>
      </c>
    </row>
    <row r="1018" spans="1:2" x14ac:dyDescent="0.2">
      <c r="A1018" s="1" t="s">
        <v>3222</v>
      </c>
      <c r="B1018" s="1" t="str">
        <f ca="1">IFERROR(__xludf.DUMFUNCTION("GOOGLETRANSLATE(A1067,""id"",""en"")"),"Dear Wisdom Hooks For  App Buy BBM Subsidies Back with Appeal SPBU SPBU forbidding BAIN BAIN BAIN Other HP Solutions")</f>
        <v>Dear Wisdom Hooks For  App Buy BBM Subsidies Back with Appeal SPBU SPBU forbidding BAIN BAIN BAIN Other HP Solutions</v>
      </c>
    </row>
    <row r="1019" spans="1:2" x14ac:dyDescent="0.2">
      <c r="A1019" s="1" t="s">
        <v>3223</v>
      </c>
      <c r="B1019" s="1" t="str">
        <f ca="1">IFERROR(__xludf.DUMFUNCTION("GOOGLETRANSLATE(A1068,""id"",""en"")"),"Fill the gasoline using the  app must be the area")</f>
        <v>Fill the gasoline using the  app must be the area</v>
      </c>
    </row>
    <row r="1020" spans="1:2" x14ac:dyDescent="0.2">
      <c r="A1020" s="1" t="s">
        <v>3224</v>
      </c>
      <c r="B1020" s="1" t="str">
        <f ca="1">IFERROR(__xludf.DUMFUNCTION("GOOGLETRANSLATE(A1069,""id"",""en"")"),"QR Code   Application Pay SPBU Transaction Watch Video Select Click Qrcode CodeQr Application ")</f>
        <v xml:space="preserve">QR Code   Application Pay SPBU Transaction Watch Video Select Click Qrcode CodeQr Application </v>
      </c>
    </row>
    <row r="1021" spans="1:2" x14ac:dyDescent="0.2">
      <c r="A1021" s="1" t="s">
        <v>3225</v>
      </c>
      <c r="B1021" s="1" t="str">
        <f ca="1">IFERROR(__xludf.DUMFUNCTION("GOOGLETRANSLATE(A1070,""id"",""en"")"),"Difference in buying Pertamax mending to buy a quota when you make  ji")</f>
        <v>Difference in buying Pertamax mending to buy a quota when you make  ji</v>
      </c>
    </row>
    <row r="1022" spans="1:2" x14ac:dyDescent="0.2">
      <c r="A1022" s="1" t="s">
        <v>3226</v>
      </c>
      <c r="B1022" s="1" t="str">
        <f ca="1">IFERROR(__xludf.DUMFUNCTION("GOOGLETRANSLATE(A1071,""id"",""en"")"),"PT  Plan for Testing Trial Buying Fuel Subsidized Consumer List of  Applications July Photos of Republika Abdan Syakura")</f>
        <v>PT  Plan for Testing Trial Buying Fuel Subsidized Consumer List of  Applications July Photos of Republika Abdan Syakura</v>
      </c>
    </row>
    <row r="1023" spans="1:2" x14ac:dyDescent="0.2">
      <c r="A1023" s="1" t="s">
        <v>3227</v>
      </c>
      <c r="B1023" s="1" t="str">
        <f ca="1">IFERROR(__xludf.DUMFUNCTION("GOOGLETRANSLATE(A1072,""id"",""en"")"),"SPADUK APPLICATION Just Download the  Application Install  gas station Jalan LLRE MARTADINATA Bandung City Wednesday Thread")</f>
        <v>SPADUK APPLICATION Just Download the  Application Install  gas station Jalan LLRE MARTADINATA Bandung City Wednesday Thread</v>
      </c>
    </row>
    <row r="1024" spans="1:2" x14ac:dyDescent="0.2">
      <c r="A1024" s="1" t="s">
        <v>3228</v>
      </c>
      <c r="B1024" s="1" t="str">
        <f ca="1">IFERROR(__xludf.DUMFUNCTION("GOOGLETRANSLATE(A1073,""id"",""en"")")," is firmly buying subsidized LPG using ")</f>
        <v xml:space="preserve"> is firmly buying subsidized LPG using </v>
      </c>
    </row>
    <row r="1025" spans="1:2" x14ac:dyDescent="0.2">
      <c r="A1025" s="1" t="s">
        <v>3228</v>
      </c>
      <c r="B1025" s="1" t="str">
        <f ca="1">IFERROR(__xludf.DUMFUNCTION("GOOGLETRANSLATE(A1074,""id"",""en"")")," is firmly buying subsidized LPG using ")</f>
        <v xml:space="preserve"> is firmly buying subsidized LPG using </v>
      </c>
    </row>
    <row r="1026" spans="1:2" x14ac:dyDescent="0.2">
      <c r="A1026" s="1" t="s">
        <v>3206</v>
      </c>
      <c r="B1026" s="1" t="str">
        <f ca="1">IFERROR(__xludf.DUMFUNCTION("GOOGLETRANSLATE(A1075,""id"",""en"")"),"Install  don't know the seat scoopy seat handlebar seat key")</f>
        <v>Install  don't know the seat scoopy seat handlebar seat key</v>
      </c>
    </row>
    <row r="1027" spans="1:2" x14ac:dyDescent="0.2">
      <c r="A1027" s="1" t="s">
        <v>958</v>
      </c>
      <c r="B1027" s="1" t="str">
        <f ca="1">IFERROR(__xludf.DUMFUNCTION("GOOGLETRANSLATE(A1076,""id"",""en"")")," is applied for the Mechanism of the BBM List Special Website Kendara Roda")</f>
        <v xml:space="preserve"> is applied for the Mechanism of the BBM List Special Website Kendara Roda</v>
      </c>
    </row>
    <row r="1028" spans="1:2" x14ac:dyDescent="0.2">
      <c r="A1028" s="1" t="s">
        <v>60</v>
      </c>
      <c r="B1028" s="1" t="str">
        <f ca="1">IFERROR(__xludf.DUMFUNCTION("GOOGLETRANSLATE(A1077,""id"",""en"")"),"list of buying fuel subsidies pages")</f>
        <v>list of buying fuel subsidies pages</v>
      </c>
    </row>
    <row r="1029" spans="1:2" x14ac:dyDescent="0.2">
      <c r="A1029" s="1" t="s">
        <v>3229</v>
      </c>
      <c r="B1029" s="1" t="str">
        <f ca="1">IFERROR(__xludf.DUMFUNCTION("GOOGLETRANSLATE(A1078,""id"",""en"")"),"set  sell well")</f>
        <v>set  sell well</v>
      </c>
    </row>
    <row r="1030" spans="1:2" x14ac:dyDescent="0.2">
      <c r="A1030" s="1" t="s">
        <v>3230</v>
      </c>
      <c r="B1030" s="1" t="str">
        <f ca="1">IFERROR(__xludf.DUMFUNCTION("GOOGLETRANSLATE(A1079,""id"",""en"")")," Laku Buy Pertalite Solar  Java Island September ")</f>
        <v xml:space="preserve"> Laku Buy Pertalite Solar  Java Island September </v>
      </c>
    </row>
    <row r="1031" spans="1:2" x14ac:dyDescent="0.2">
      <c r="A1031" s="1" t="s">
        <v>3231</v>
      </c>
      <c r="B1031" s="1" t="str">
        <f ca="1">IFERROR(__xludf.DUMFUNCTION("GOOGLETRANSLATE(A1080,""id"",""en"")"),"The contents of the cheap gasoline using the Kalang Kalang  application are digital hmmm")</f>
        <v>The contents of the cheap gasoline using the Kalang Kalang  application are digital hmmm</v>
      </c>
    </row>
    <row r="1032" spans="1:2" x14ac:dyDescent="0.2">
      <c r="A1032" s="1" t="s">
        <v>3232</v>
      </c>
      <c r="B1032" s="1" t="str">
        <f ca="1">IFERROR(__xludf.DUMFUNCTION("GOOGLETRANSLATE(A1081,""id"",""en"")"),"How do you fill in fuel using  prohibiting ")</f>
        <v xml:space="preserve">How do you fill in fuel using  prohibiting </v>
      </c>
    </row>
    <row r="1033" spans="1:2" x14ac:dyDescent="0.2">
      <c r="A1033" s="1" t="s">
        <v>3233</v>
      </c>
      <c r="B1033" s="1" t="str">
        <f ca="1">IFERROR(__xludf.DUMFUNCTION("GOOGLETRANSLATE(A1082,""id"",""en"")"),"Read Review App  Mood Bgt")</f>
        <v>Read Review App  Mood Bgt</v>
      </c>
    </row>
    <row r="1034" spans="1:2" x14ac:dyDescent="0.2">
      <c r="A1034" s="1" t="s">
        <v>3234</v>
      </c>
      <c r="B1034" s="1" t="str">
        <f ca="1">IFERROR(__xludf.DUMFUNCTION("GOOGLETRANSLATE(A1083,""id"",""en"")"),"for , for")</f>
        <v>for , for</v>
      </c>
    </row>
    <row r="1035" spans="1:2" x14ac:dyDescent="0.2">
      <c r="A1035" s="1" t="s">
        <v>3235</v>
      </c>
      <c r="B1035" s="1" t="str">
        <f ca="1">IFERROR(__xludf.DUMFUNCTION("GOOGLETRANSLATE(A1084,""id"",""en"")"),"there are those who use the  application, read the person who has installed the application that the application is connected to the link application to pay the transaction transaction of the Rp.")</f>
        <v>there are those who use the  application, read the person who has installed the application that the application is connected to the link application to pay the transaction transaction of the Rp.</v>
      </c>
    </row>
    <row r="1036" spans="1:2" x14ac:dyDescent="0.2">
      <c r="A1036" s="1" t="s">
        <v>3236</v>
      </c>
      <c r="B1036" s="1" t="str">
        <f ca="1">IFERROR(__xludf.DUMFUNCTION("GOOGLETRANSLATE(A1085,""id"",""en"")"),"already counted growing weeks install  amp linkaja")</f>
        <v>already counted growing weeks install  amp linkaja</v>
      </c>
    </row>
    <row r="1037" spans="1:2" x14ac:dyDescent="0.2">
      <c r="A1037" s="1" t="s">
        <v>3237</v>
      </c>
      <c r="B1037" s="1" t="str">
        <f ca="1">IFERROR(__xludf.DUMFUNCTION("GOOGLETRANSLATE(A1086,""id"",""en"")"),"good at using the calang central application.")</f>
        <v>good at using the calang central application.</v>
      </c>
    </row>
    <row r="1038" spans="1:2" x14ac:dyDescent="0.2">
      <c r="A1038" s="1" t="s">
        <v>3238</v>
      </c>
      <c r="B1038" s="1" t="str">
        <f ca="1">IFERROR(__xludf.DUMFUNCTION("GOOGLETRANSLATE(A1087,""id"",""en"")"),"BGTU LABANG GA MATAU USING VALIDATION  knows the KTP that the Pajero house garage has refused when the validation")</f>
        <v>BGTU LABANG GA MATAU USING VALIDATION  knows the KTP that the Pajero house garage has refused when the validation</v>
      </c>
    </row>
    <row r="1039" spans="1:2" x14ac:dyDescent="0.2">
      <c r="A1039" s="1" t="s">
        <v>3239</v>
      </c>
      <c r="B1039" s="1" t="str">
        <f ca="1">IFERROR(__xludf.DUMFUNCTION("GOOGLETRANSLATE(A1088,""id"",""en"")"),"ah panicked fear that the gas station is not used to use  not cash gas station")</f>
        <v>ah panicked fear that the gas station is not used to use  not cash gas station</v>
      </c>
    </row>
    <row r="1040" spans="1:2" x14ac:dyDescent="0.2">
      <c r="A1040" s="1" t="s">
        <v>3240</v>
      </c>
      <c r="B1040" s="1" t="str">
        <f ca="1">IFERROR(__xludf.DUMFUNCTION("GOOGLETRANSLATE(A1089,""id"",""en"")"),"the one who downloads  blm bsk juli bought using the application, sorry, sorry, buy Pertamax Awokawok")</f>
        <v>the one who downloads  blm bsk juli bought using the application, sorry, sorry, buy Pertamax Awokawok</v>
      </c>
    </row>
    <row r="1041" spans="1:2" x14ac:dyDescent="0.2">
      <c r="A1041" s="1" t="s">
        <v>2942</v>
      </c>
      <c r="B1041" s="1" t="str">
        <f ca="1">IFERROR(__xludf.DUMFUNCTION("GOOGLETRANSLATE(A1090,""id"",""en"")"),"Actually the order to release  so that the community still mocking the command to be subject to aa law aa law")</f>
        <v>Actually the order to release  so that the community still mocking the command to be subject to aa law aa law</v>
      </c>
    </row>
    <row r="1042" spans="1:2" x14ac:dyDescent="0.2">
      <c r="A1042" s="1" t="s">
        <v>3241</v>
      </c>
      <c r="B1042" s="1" t="str">
        <f ca="1">IFERROR(__xludf.DUMFUNCTION("GOOGLETRANSLATE(A1091,""id"",""en"")"),"HP memory is full of can't download  applications rarely do Muslim pro -Muslims.")</f>
        <v>HP memory is full of can't download  applications rarely do Muslim pro -Muslims.</v>
      </c>
    </row>
    <row r="1043" spans="1:2" x14ac:dyDescent="0.2">
      <c r="A1043" s="1" t="s">
        <v>3242</v>
      </c>
      <c r="B1043" s="1" t="str">
        <f ca="1">IFERROR(__xludf.DUMFUNCTION("GOOGLETRANSLATE(A1092,""id"",""en"")"),"Already Install  Askrl Gais Bomb")</f>
        <v>Already Install  Askrl Gais Bomb</v>
      </c>
    </row>
    <row r="1044" spans="1:2" x14ac:dyDescent="0.2">
      <c r="A1044" s="1" t="s">
        <v>3243</v>
      </c>
      <c r="B1044" s="1" t="str">
        <f ca="1">IFERROR(__xludf.DUMFUNCTION("GOOGLETRANSLATE(A1093,""id"",""en"")")," Patra Niaga Mandatory belonging to the  application")</f>
        <v xml:space="preserve"> Patra Niaga Mandatory belonging to the  application</v>
      </c>
    </row>
    <row r="1045" spans="1:2" x14ac:dyDescent="0.2">
      <c r="A1045" s="1" t="s">
        <v>3244</v>
      </c>
      <c r="B1045" s="1" t="str">
        <f ca="1">IFERROR(__xludf.DUMFUNCTION("GOOGLETRANSLATE(A1094,""id"",""en"")"),"prohibit a safe cellphone from paying gasoline using the  application  Application Ministry of BBMSubsidi Pertalite Solar")</f>
        <v>prohibit a safe cellphone from paying gasoline using the  application  Application Ministry of BBMSubsidi Pertalite Solar</v>
      </c>
    </row>
    <row r="1046" spans="1:2" x14ac:dyDescent="0.2">
      <c r="A1046" s="1" t="s">
        <v>3245</v>
      </c>
      <c r="B1046" s="1" t="str">
        <f ca="1">IFERROR(__xludf.DUMFUNCTION("GOOGLETRANSLATE(A1095,""id"",""en"")"),"ah panicked fear that the gas station is not used to use  not cash gas station")</f>
        <v>ah panicked fear that the gas station is not used to use  not cash gas station</v>
      </c>
    </row>
    <row r="1047" spans="1:2" x14ac:dyDescent="0.2">
      <c r="A1047" s="1" t="s">
        <v>3246</v>
      </c>
      <c r="B1047" s="1" t="str">
        <f ca="1">IFERROR(__xludf.DUMFUNCTION("GOOGLETRANSLATE(A1096,""id"",""en"")"),"Already Putin Putin Friday Night Popo Instagram ")</f>
        <v xml:space="preserve">Already Putin Putin Friday Night Popo Instagram </v>
      </c>
    </row>
    <row r="1048" spans="1:2" x14ac:dyDescent="0.2">
      <c r="A1048" s="1" t="s">
        <v>63</v>
      </c>
      <c r="B1048" s="1" t="str">
        <f ca="1">IFERROR(__xludf.DUMFUNCTION("GOOGLETRANSLATE(A1097,""id"",""en"")"),"Prevent corruption who is the main focus of the main BUMN regime in the criticism of the regime")</f>
        <v>Prevent corruption who is the main focus of the main BUMN regime in the criticism of the regime</v>
      </c>
    </row>
    <row r="1049" spans="1:2" x14ac:dyDescent="0.2">
      <c r="A1049" s="1" t="s">
        <v>959</v>
      </c>
      <c r="B1049" s="1" t="str">
        <f ca="1">IFERROR(__xludf.DUMFUNCTION("GOOGLETRANSLATE(A1098,""id"",""en"")"),"PT  Persero Reveals Pertalite Solar Consumption of Central Golong")</f>
        <v>PT  Persero Reveals Pertalite Solar Consumption of Central Golong</v>
      </c>
    </row>
    <row r="1050" spans="1:2" x14ac:dyDescent="0.2">
      <c r="A1050" s="1" t="s">
        <v>3246</v>
      </c>
      <c r="B1050" s="1" t="str">
        <f ca="1">IFERROR(__xludf.DUMFUNCTION("GOOGLETRANSLATE(A1099,""id"",""en"")"),"Already Putin Putin Friday Night Popo Instagram ")</f>
        <v xml:space="preserve">Already Putin Putin Friday Night Popo Instagram </v>
      </c>
    </row>
    <row r="1051" spans="1:2" x14ac:dyDescent="0.2">
      <c r="A1051" s="1" t="s">
        <v>3247</v>
      </c>
      <c r="B1051" s="1" t="str">
        <f ca="1">IFERROR(__xludf.DUMFUNCTION("GOOGLETRANSLATE(A1100,""id"",""en"")"),"LPG Kg Poor People, Hello, understand the poor, not, not to fill in the quota, the list of  is also a brain")</f>
        <v>LPG Kg Poor People, Hello, understand the poor, not, not to fill in the quota, the list of  is also a brain</v>
      </c>
    </row>
    <row r="1052" spans="1:2" x14ac:dyDescent="0.2">
      <c r="A1052" s="1" t="s">
        <v>3248</v>
      </c>
      <c r="B1052" s="1" t="str">
        <f ca="1">IFERROR(__xludf.DUMFUNCTION("GOOGLETRANSLATE(A1101,""id"",""en"")")," opens the sound of news to buy LPG gas using the  application")</f>
        <v xml:space="preserve"> opens the sound of news to buy LPG gas using the  application</v>
      </c>
    </row>
    <row r="1053" spans="1:2" x14ac:dyDescent="0.2">
      <c r="A1053" s="1" t="s">
        <v>2985</v>
      </c>
      <c r="B1053" s="1" t="str">
        <f ca="1">IFERROR(__xludf.DUMFUNCTION("GOOGLETRANSLATE(A1102,""id"",""en"")")," Flood Star Review Application")</f>
        <v xml:space="preserve"> Flood Star Review Application</v>
      </c>
    </row>
    <row r="1054" spans="1:2" x14ac:dyDescent="0.2">
      <c r="A1054" s="1" t="s">
        <v>3249</v>
      </c>
      <c r="B1054" s="1" t="str">
        <f ca="1">IFERROR(__xludf.DUMFUNCTION("GOOGLETRANSLATE(A1103,""id"",""en"")"),"Let me Difficult App ")</f>
        <v xml:space="preserve">Let me Difficult App </v>
      </c>
    </row>
    <row r="1055" spans="1:2" x14ac:dyDescent="0.2">
      <c r="A1055" s="1" t="s">
        <v>3246</v>
      </c>
      <c r="B1055" s="1" t="str">
        <f ca="1">IFERROR(__xludf.DUMFUNCTION("GOOGLETRANSLATE(A1104,""id"",""en"")"),"Already Putin Putin Friday Night Popo Instagram ")</f>
        <v xml:space="preserve">Already Putin Putin Friday Night Popo Instagram </v>
      </c>
    </row>
    <row r="1056" spans="1:2" x14ac:dyDescent="0.2">
      <c r="A1056" s="1" t="s">
        <v>3250</v>
      </c>
      <c r="B1056" s="1" t="str">
        <f ca="1">IFERROR(__xludf.DUMFUNCTION("GOOGLETRANSLATE(A1105,""id"",""en"")"),"shadow queuing due to the commotion of the  application mending  published tap card refill back buying gasoline just tap")</f>
        <v>shadow queuing due to the commotion of the  application mending  published tap card refill back buying gasoline just tap</v>
      </c>
    </row>
    <row r="1057" spans="1:2" x14ac:dyDescent="0.2">
      <c r="A1057" s="1" t="s">
        <v>3251</v>
      </c>
      <c r="B1057" s="1" t="str">
        <f ca="1">IFERROR(__xludf.DUMFUNCTION("GOOGLETRANSLATE(A1106,""id"",""en"")"),"already using  there")</f>
        <v>already using  there</v>
      </c>
    </row>
    <row r="1058" spans="1:2" x14ac:dyDescent="0.2">
      <c r="A1058" s="1" t="s">
        <v>3252</v>
      </c>
      <c r="B1058" s="1" t="str">
        <f ca="1">IFERROR(__xludf.DUMFUNCTION("GOOGLETRANSLATE(A1107,""id"",""en"")"),"the public is obliged to register for  applications to buy solar pertalite many bugs of applications")</f>
        <v>the public is obliged to register for  applications to buy solar pertalite many bugs of applications</v>
      </c>
    </row>
    <row r="1059" spans="1:2" x14ac:dyDescent="0.2">
      <c r="A1059" s="1" t="s">
        <v>3038</v>
      </c>
      <c r="B1059" s="1" t="str">
        <f ca="1">IFERROR(__xludf.DUMFUNCTION("GOOGLETRANSLATE(A1108,""id"",""en"")")," Pertalite Gas LPG is added to the people adding to the people")</f>
        <v xml:space="preserve"> Pertalite Gas LPG is added to the people adding to the people</v>
      </c>
    </row>
    <row r="1060" spans="1:2" x14ac:dyDescent="0.2">
      <c r="A1060" s="1" t="s">
        <v>3246</v>
      </c>
      <c r="B1060" s="1" t="str">
        <f ca="1">IFERROR(__xludf.DUMFUNCTION("GOOGLETRANSLATE(A1109,""id"",""en"")"),"Already Putin Putin Friday Night Popo Instagram ")</f>
        <v xml:space="preserve">Already Putin Putin Friday Night Popo Instagram </v>
      </c>
    </row>
    <row r="1061" spans="1:2" x14ac:dyDescent="0.2">
      <c r="A1061" s="1" t="s">
        <v>3253</v>
      </c>
      <c r="B1061" s="1" t="str">
        <f ca="1">IFERROR(__xludf.DUMFUNCTION("GOOGLETRANSLATE(A1110,""id"",""en"")"),"LINKAJA Untung from the chaotic  typical of Telkom Elephant who is difficult to win monopoly supports regulations that inhibit the nation's progress that from Telkom is really brave, the link for fair competition ethic is not")</f>
        <v>LINKAJA Untung from the chaotic  typical of Telkom Elephant who is difficult to win monopoly supports regulations that inhibit the nation's progress that from Telkom is really brave, the link for fair competition ethic is not</v>
      </c>
    </row>
    <row r="1062" spans="1:2" x14ac:dyDescent="0.2">
      <c r="A1062" s="1" t="s">
        <v>3254</v>
      </c>
      <c r="B1062" s="1" t="str">
        <f ca="1">IFERROR(__xludf.DUMFUNCTION("GOOGLETRANSLATE(A1111,""id"",""en"")"),"buy fuel subsidies for  applications for people")</f>
        <v>buy fuel subsidies for  applications for people</v>
      </c>
    </row>
    <row r="1063" spans="1:2" x14ac:dyDescent="0.2">
      <c r="A1063" s="1" t="s">
        <v>3255</v>
      </c>
      <c r="B1063" s="1" t="str">
        <f ca="1">IFERROR(__xludf.DUMFUNCTION("GOOGLETRANSLATE(A1112,""id"",""en"")"),"I wish you  like an MPASPORT App")</f>
        <v>I wish you  like an MPASPORT App</v>
      </c>
    </row>
    <row r="1064" spans="1:2" x14ac:dyDescent="0.2">
      <c r="A1064" s="1" t="s">
        <v>3246</v>
      </c>
      <c r="B1064" s="1" t="str">
        <f ca="1">IFERROR(__xludf.DUMFUNCTION("GOOGLETRANSLATE(A1113,""id"",""en"")"),"Already Putin Putin Friday Night Popo Instagram ")</f>
        <v xml:space="preserve">Already Putin Putin Friday Night Popo Instagram </v>
      </c>
    </row>
    <row r="1065" spans="1:2" x14ac:dyDescent="0.2">
      <c r="A1065" s="1" t="s">
        <v>3256</v>
      </c>
      <c r="B1065" s="1" t="str">
        <f ca="1">IFERROR(__xludf.DUMFUNCTION("GOOGLETRANSLATE(A1114,""id"",""en"")"),"Wise Plan for Buying BBM Subsidies Pertalite Solar LPG KG CSWS July Application  Effective Value")</f>
        <v>Wise Plan for Buying BBM Subsidies Pertalite Solar LPG KG CSWS July Application  Effective Value</v>
      </c>
    </row>
    <row r="1066" spans="1:2" x14ac:dyDescent="0.2">
      <c r="A1066" s="1" t="s">
        <v>3257</v>
      </c>
      <c r="B1066" s="1" t="str">
        <f ca="1">IFERROR(__xludf.DUMFUNCTION("GOOGLETRANSLATE(A1115,""id"",""en"")"),"Wrong mind ")</f>
        <v xml:space="preserve">Wrong mind </v>
      </c>
    </row>
    <row r="1067" spans="1:2" x14ac:dyDescent="0.2">
      <c r="A1067" s="1" t="s">
        <v>3258</v>
      </c>
      <c r="B1067" s="1" t="str">
        <f ca="1">IFERROR(__xludf.DUMFUNCTION("GOOGLETRANSLATE(A1116,""id"",""en"")"),"I already installed the  application tomorrow")</f>
        <v>I already installed the  application tomorrow</v>
      </c>
    </row>
    <row r="1068" spans="1:2" x14ac:dyDescent="0.2">
      <c r="A1068" s="1" t="s">
        <v>3259</v>
      </c>
      <c r="B1068" s="1" t="str">
        <f ca="1">IFERROR(__xludf.DUMFUNCTION("GOOGLETRANSLATE(A1117,""id"",""en"")"),"Bandung Transportation Refuse  Application Driver Buy Android")</f>
        <v>Bandung Transportation Refuse  Application Driver Buy Android</v>
      </c>
    </row>
    <row r="1069" spans="1:2" x14ac:dyDescent="0.2">
      <c r="A1069" s="1" t="s">
        <v>3246</v>
      </c>
      <c r="B1069" s="1" t="str">
        <f ca="1">IFERROR(__xludf.DUMFUNCTION("GOOGLETRANSLATE(A1118,""id"",""en"")"),"Already Putin Putin Friday Night Popo Instagram ")</f>
        <v xml:space="preserve">Already Putin Putin Friday Night Popo Instagram </v>
      </c>
    </row>
    <row r="1070" spans="1:2" x14ac:dyDescent="0.2">
      <c r="A1070" s="1" t="s">
        <v>3246</v>
      </c>
      <c r="B1070" s="1" t="str">
        <f ca="1">IFERROR(__xludf.DUMFUNCTION("GOOGLETRANSLATE(A1119,""id"",""en"")"),"Already Putin Putin Friday Night Popo Instagram ")</f>
        <v xml:space="preserve">Already Putin Putin Friday Night Popo Instagram </v>
      </c>
    </row>
    <row r="1071" spans="1:2" x14ac:dyDescent="0.2">
      <c r="A1071" s="1" t="s">
        <v>3260</v>
      </c>
      <c r="B1071" s="1" t="str">
        <f ca="1">IFERROR(__xludf.DUMFUNCTION("GOOGLETRANSLATE(A1120,""id"",""en"")"),"buy pertalite using  qr code for cheating measuring")</f>
        <v>buy pertalite using  qr code for cheating measuring</v>
      </c>
    </row>
    <row r="1072" spans="1:2" x14ac:dyDescent="0.2">
      <c r="A1072" s="1" t="s">
        <v>3261</v>
      </c>
      <c r="B1072" s="1" t="str">
        <f ca="1">IFERROR(__xludf.DUMFUNCTION("GOOGLETRANSLATE(A1121,""id"",""en"")"),"Gaperlu Motor Install ")</f>
        <v xml:space="preserve">Gaperlu Motor Install </v>
      </c>
    </row>
    <row r="1073" spans="1:2" x14ac:dyDescent="0.2">
      <c r="A1073" s="1" t="s">
        <v>3246</v>
      </c>
      <c r="B1073" s="1" t="str">
        <f ca="1">IFERROR(__xludf.DUMFUNCTION("GOOGLETRANSLATE(A1122,""id"",""en"")"),"Already Putin Putin Friday Night Popo Instagram ")</f>
        <v xml:space="preserve">Already Putin Putin Friday Night Popo Instagram </v>
      </c>
    </row>
    <row r="1074" spans="1:2" x14ac:dyDescent="0.2">
      <c r="A1074" s="1" t="s">
        <v>64</v>
      </c>
      <c r="B1074" s="1" t="str">
        <f ca="1">IFERROR(__xludf.DUMFUNCTION("GOOGLETRANSLATE(A1123,""id"",""en"")"),"Copotmenteridongok Copotmenteridongok")</f>
        <v>Copotmenteridongok Copotmenteridongok</v>
      </c>
    </row>
    <row r="1075" spans="1:2" x14ac:dyDescent="0.2">
      <c r="A1075" s="1" t="s">
        <v>65</v>
      </c>
      <c r="B1075" s="1" t="str">
        <f ca="1">IFERROR(__xludf.DUMFUNCTION("GOOGLETRANSLATE(A1124,""id"",""en"")"),"Site Account Buy Pertalite Solar")</f>
        <v>Site Account Buy Pertalite Solar</v>
      </c>
    </row>
    <row r="1076" spans="1:2" x14ac:dyDescent="0.2">
      <c r="A1076" s="1" t="s">
        <v>3262</v>
      </c>
      <c r="B1076" s="1" t="str">
        <f ca="1">IFERROR(__xludf.DUMFUNCTION("GOOGLETRANSLATE(A1125,""id"",""en"")"),"Record the list of  owned by Kendara Sariagri Tani")</f>
        <v>Record the list of  owned by Kendara Sariagri Tani</v>
      </c>
    </row>
    <row r="1077" spans="1:2" x14ac:dyDescent="0.2">
      <c r="A1077" s="1" t="s">
        <v>3263</v>
      </c>
      <c r="B1077" s="1" t="str">
        <f ca="1">IFERROR(__xludf.DUMFUNCTION("GOOGLETRANSLATE(A1126,""id"",""en"")"),"Buy BBM Must use  Ade Hartati Maintaining the Commitment of Goriau Integrity")</f>
        <v>Buy BBM Must use  Ade Hartati Maintaining the Commitment of Goriau Integrity</v>
      </c>
    </row>
    <row r="1078" spans="1:2" x14ac:dyDescent="0.2">
      <c r="A1078" s="1" t="s">
        <v>66</v>
      </c>
      <c r="B1078" s="1" t="str">
        <f ca="1">IFERROR(__xludf.DUMFUNCTION("GOOGLETRANSLATE(A1127,""id"",""en"")"),"LPG KG KGGGANG SYSTEMS OF APPERAL REGISTRATION")</f>
        <v>LPG KG KGGGANG SYSTEMS OF APPERAL REGISTRATION</v>
      </c>
    </row>
    <row r="1079" spans="1:2" x14ac:dyDescent="0.2">
      <c r="A1079" s="1" t="s">
        <v>3264</v>
      </c>
      <c r="B1079" s="1" t="str">
        <f ca="1">IFERROR(__xludf.DUMFUNCTION("GOOGLETRANSLATE(A1128,""id"",""en"")"),"How about ")</f>
        <v xml:space="preserve">How about </v>
      </c>
    </row>
    <row r="1080" spans="1:2" x14ac:dyDescent="0.2">
      <c r="A1080" s="1" t="s">
        <v>3265</v>
      </c>
      <c r="B1080" s="1" t="str">
        <f ca="1">IFERROR(__xludf.DUMFUNCTION("GOOGLETRANSLATE(A1129,""id"",""en"")"),"eh btw the one who feels  app if smisal is a cellphone like a memory")</f>
        <v>eh btw the one who feels  app if smisal is a cellphone like a memory</v>
      </c>
    </row>
    <row r="1081" spans="1:2" x14ac:dyDescent="0.2">
      <c r="A1081" s="1" t="s">
        <v>2684</v>
      </c>
      <c r="B1081" s="1" t="str">
        <f ca="1">IFERROR(__xludf.DUMFUNCTION("GOOGLETRANSLATE(A1130,""id"",""en"")"),"thinking  mending kirin")</f>
        <v>thinking  mending kirin</v>
      </c>
    </row>
    <row r="1082" spans="1:2" x14ac:dyDescent="0.2">
      <c r="A1082" s="1" t="s">
        <v>3266</v>
      </c>
      <c r="B1082" s="1" t="str">
        <f ca="1">IFERROR(__xludf.DUMFUNCTION("GOOGLETRANSLATE(A1131,""id"",""en"")"),"buy gasoline using  cash not using link")</f>
        <v>buy gasoline using  cash not using link</v>
      </c>
    </row>
    <row r="1083" spans="1:2" x14ac:dyDescent="0.2">
      <c r="A1083" s="1" t="s">
        <v>3267</v>
      </c>
      <c r="B1083" s="1" t="str">
        <f ca="1">IFERROR(__xludf.DUMFUNCTION("GOOGLETRANSLATE(A1132,""id"",""en"")"),"PT  Patra Niaga Opens the Identity List of the  Website Identity July List Use Qr Code Buy Fuel Fuel Fuel Subsidized  SPBU")</f>
        <v>PT  Patra Niaga Opens the Identity List of the  Website Identity July List Use Qr Code Buy Fuel Fuel Fuel Subsidized  SPBU</v>
      </c>
    </row>
    <row r="1084" spans="1:2" x14ac:dyDescent="0.2">
      <c r="A1084" s="1" t="s">
        <v>3268</v>
      </c>
      <c r="B1084" s="1" t="str">
        <f ca="1">IFERROR(__xludf.DUMFUNCTION("GOOGLETRANSLATE(A1133,""id"",""en"")"),"Cimahi people don't use  applications")</f>
        <v>Cimahi people don't use  applications</v>
      </c>
    </row>
    <row r="1085" spans="1:2" x14ac:dyDescent="0.2">
      <c r="A1085" s="1" t="s">
        <v>3269</v>
      </c>
      <c r="B1085" s="1" t="str">
        <f ca="1">IFERROR(__xludf.DUMFUNCTION("GOOGLETRANSLATE(A1134,""id"",""en"")")," is obliged to list the  Guna LPG Kg Kg Site Site")</f>
        <v xml:space="preserve"> is obliged to list the  Guna LPG Kg Kg Site Site</v>
      </c>
    </row>
    <row r="1086" spans="1:2" x14ac:dyDescent="0.2">
      <c r="A1086" s="1" t="s">
        <v>3269</v>
      </c>
      <c r="B1086" s="1" t="str">
        <f ca="1">IFERROR(__xludf.DUMFUNCTION("GOOGLETRANSLATE(A1135,""id"",""en"")")," is obliged to list the  Guna LPG Kg Kg Site Site")</f>
        <v xml:space="preserve"> is obliged to list the  Guna LPG Kg Kg Site Site</v>
      </c>
    </row>
    <row r="1087" spans="1:2" x14ac:dyDescent="0.2">
      <c r="A1087" s="1" t="s">
        <v>3270</v>
      </c>
      <c r="B1087" s="1" t="str">
        <f ca="1">IFERROR(__xludf.DUMFUNCTION("GOOGLETRANSLATE(A1136,""id"",""en"")"),"Buy Cooking Oil Using the Protection Care Application Buy BBM Using the People's  Application Difficult due to Difficult Pandemi")</f>
        <v>Buy Cooking Oil Using the Protection Care Application Buy BBM Using the People's  Application Difficult due to Difficult Pandemi</v>
      </c>
    </row>
    <row r="1088" spans="1:2" x14ac:dyDescent="0.2">
      <c r="A1088" s="1" t="s">
        <v>3248</v>
      </c>
      <c r="B1088" s="1" t="str">
        <f ca="1">IFERROR(__xludf.DUMFUNCTION("GOOGLETRANSLATE(A1137,""id"",""en"")")," opens the sound of news to buy LPG gas using the  application")</f>
        <v xml:space="preserve"> opens the sound of news to buy LPG gas using the  application</v>
      </c>
    </row>
    <row r="1089" spans="1:2" x14ac:dyDescent="0.2">
      <c r="A1089" s="1" t="s">
        <v>3271</v>
      </c>
      <c r="B1089" s="1" t="str">
        <f ca="1">IFERROR(__xludf.DUMFUNCTION("GOOGLETRANSLATE(A1138,""id"",""en"")"),"told to open the  application gas station image")</f>
        <v>told to open the  application gas station image</v>
      </c>
    </row>
    <row r="1090" spans="1:2" x14ac:dyDescent="0.2">
      <c r="A1090" s="1" t="s">
        <v>3272</v>
      </c>
      <c r="B1090" s="1" t="str">
        <f ca="1">IFERROR(__xludf.DUMFUNCTION("GOOGLETRANSLATE(A1139,""id"",""en"")"),"Boycott List of  Applications")</f>
        <v>Boycott List of  Applications</v>
      </c>
    </row>
    <row r="1091" spans="1:2" x14ac:dyDescent="0.2">
      <c r="A1091" s="1" t="s">
        <v>3273</v>
      </c>
      <c r="B1091" s="1" t="str">
        <f ca="1">IFERROR(__xludf.DUMFUNCTION("GOOGLETRANSLATE(A1140,""id"",""en"")"),"the official leakage order to buy fuel fuel fuel for   juli application")</f>
        <v>the official leakage order to buy fuel fuel fuel for   juli application</v>
      </c>
    </row>
    <row r="1092" spans="1:2" x14ac:dyDescent="0.2">
      <c r="A1092" s="1" t="s">
        <v>3274</v>
      </c>
      <c r="B1092" s="1" t="str">
        <f ca="1">IFERROR(__xludf.DUMFUNCTION("GOOGLETRANSLATE(A1141,""id"",""en"")"),"  Application Driver Rental Car Watch Video Select Click   Application")</f>
        <v xml:space="preserve">  Application Driver Rental Car Watch Video Select Click   Application</v>
      </c>
    </row>
    <row r="1093" spans="1:2" x14ac:dyDescent="0.2">
      <c r="A1093" s="1" t="s">
        <v>3275</v>
      </c>
      <c r="B1093" s="1" t="str">
        <f ca="1">IFERROR(__xludf.DUMFUNCTION("GOOGLETRANSLATE(A1142,""id"",""en"")"),"Motorcycle Buy Pertalite Using the  Bandung Motor Pertalite application")</f>
        <v>Motorcycle Buy Pertalite Using the  Bandung Motor Pertalite application</v>
      </c>
    </row>
    <row r="1094" spans="1:2" x14ac:dyDescent="0.2">
      <c r="A1094" s="1" t="s">
        <v>3276</v>
      </c>
      <c r="B1094" s="1" t="str">
        <f ca="1">IFERROR(__xludf.DUMFUNCTION("GOOGLETRANSLATE(A1143,""id"",""en"")")," account list of qr code close people")</f>
        <v xml:space="preserve"> account list of qr code close people</v>
      </c>
    </row>
    <row r="1095" spans="1:2" x14ac:dyDescent="0.2">
      <c r="A1095" s="1" t="s">
        <v>3277</v>
      </c>
      <c r="B1095" s="1" t="str">
        <f ca="1">IFERROR(__xludf.DUMFUNCTION("GOOGLETRANSLATE(A1144,""id"",""en"")")," Kembang  Frame Frame Pertalite Solar Data Receive fuel subsidies")</f>
        <v xml:space="preserve"> Kembang  Frame Frame Pertalite Solar Data Receive fuel subsidies</v>
      </c>
    </row>
    <row r="1096" spans="1:2" x14ac:dyDescent="0.2">
      <c r="A1096" s="1" t="s">
        <v>3271</v>
      </c>
      <c r="B1096" s="1" t="str">
        <f ca="1">IFERROR(__xludf.DUMFUNCTION("GOOGLETRANSLATE(A1145,""id"",""en"")"),"told to open the  application gas station image")</f>
        <v>told to open the  application gas station image</v>
      </c>
    </row>
    <row r="1097" spans="1:2" x14ac:dyDescent="0.2">
      <c r="A1097" s="1" t="s">
        <v>3278</v>
      </c>
      <c r="B1097" s="1" t="str">
        <f ca="1">IFERROR(__xludf.DUMFUNCTION("GOOGLETRANSLATE(A1146,""id"",""en"")"),"Pertalite Predictions have emerged plans for the  application to buy gas Kg Application")</f>
        <v>Pertalite Predictions have emerged plans for the  application to buy gas Kg Application</v>
      </c>
    </row>
    <row r="1098" spans="1:2" x14ac:dyDescent="0.2">
      <c r="A1098" s="1" t="s">
        <v>3279</v>
      </c>
      <c r="B1098" s="1" t="str">
        <f ca="1">IFERROR(__xludf.DUMFUNCTION("GOOGLETRANSLATE(A1147,""id"",""en"")"),"PT  Persero Buying List of Fuel Subsidies of  Digital Platforms owned by Kendara Roda")</f>
        <v>PT  Persero Buying List of Fuel Subsidies of  Digital Platforms owned by Kendara Roda</v>
      </c>
    </row>
    <row r="1099" spans="1:2" x14ac:dyDescent="0.2">
      <c r="A1099" s="1" t="s">
        <v>3280</v>
      </c>
      <c r="B1099" s="1" t="str">
        <f ca="1">IFERROR(__xludf.DUMFUNCTION("GOOGLETRANSLATE(A1148,""id"",""en"")"),"the quality of the kadrun who appl  whose requirements for protecting nik olh buy pertalit")</f>
        <v>the quality of the kadrun who appl  whose requirements for protecting nik olh buy pertalit</v>
      </c>
    </row>
    <row r="1100" spans="1:2" x14ac:dyDescent="0.2">
      <c r="A1100" s="1" t="s">
        <v>3281</v>
      </c>
      <c r="B1100" s="1" t="str">
        <f ca="1">IFERROR(__xludf.DUMFUNCTION("GOOGLETRANSLATE(A1149,""id"",""en"")"),"List of  Kendara Account")</f>
        <v>List of  Kendara Account</v>
      </c>
    </row>
    <row r="1101" spans="1:2" x14ac:dyDescent="0.2">
      <c r="A1101" s="1" t="s">
        <v>3282</v>
      </c>
      <c r="B1101" s="1" t="str">
        <f ca="1">IFERROR(__xludf.DUMFUNCTION("GOOGLETRANSLATE(A1150,""id"",""en"")"),"Consumers fuel fuel fuel must be aware of the fake   application watch video select click  application bbm")</f>
        <v>Consumers fuel fuel fuel must be aware of the fake   application watch video select click  application bbm</v>
      </c>
    </row>
    <row r="1102" spans="1:2" x14ac:dyDescent="0.2">
      <c r="A1102" s="1" t="s">
        <v>67</v>
      </c>
      <c r="B1102" s="1" t="str">
        <f ca="1">IFERROR(__xludf.DUMFUNCTION("GOOGLETRANSLATE(A1151,""id"",""en"")"),"appears worried about disturbing the distribution of goods")</f>
        <v>appears worried about disturbing the distribution of goods</v>
      </c>
    </row>
    <row r="1103" spans="1:2" x14ac:dyDescent="0.2">
      <c r="A1103" s="1" t="s">
        <v>3283</v>
      </c>
      <c r="B1103" s="1" t="str">
        <f ca="1">IFERROR(__xludf.DUMFUNCTION("GOOGLETRANSLATE(A1152,""id"",""en"")"),"wisely buy fuel fuel fuel subsidized Digital  Application Criticism is very informatics technology IT Heru Sutadi  Application Pertalitpakai Observers")</f>
        <v>wisely buy fuel fuel fuel subsidized Digital  Application Criticism is very informatics technology IT Heru Sutadi  Application Pertalitpakai Observers</v>
      </c>
    </row>
    <row r="1104" spans="1:2" x14ac:dyDescent="0.2">
      <c r="A1104" s="1" t="s">
        <v>3284</v>
      </c>
      <c r="B1104" s="1" t="str">
        <f ca="1">IFERROR(__xludf.DUMFUNCTION("GOOGLETRANSLATE(A1153,""id"",""en"")"),"Buy BBM Type of Solar Pertalite Limits List of  Applications")</f>
        <v>Buy BBM Type of Solar Pertalite Limits List of  Applications</v>
      </c>
    </row>
    <row r="1105" spans="1:2" x14ac:dyDescent="0.2">
      <c r="A1105" s="1" t="s">
        <v>3285</v>
      </c>
      <c r="B1105" s="1" t="str">
        <f ca="1">IFERROR(__xludf.DUMFUNCTION("GOOGLETRANSLATE(A1154,""id"",""en"")"),"The official leakage order to buy fuel fuel fuel for   application, official command of the  application, buy subsidized fuel")</f>
        <v>The official leakage order to buy fuel fuel fuel for   application, official command of the  application, buy subsidized fuel</v>
      </c>
    </row>
    <row r="1106" spans="1:2" x14ac:dyDescent="0.2">
      <c r="A1106" s="1" t="s">
        <v>67</v>
      </c>
      <c r="B1106" s="1" t="str">
        <f ca="1">IFERROR(__xludf.DUMFUNCTION("GOOGLETRANSLATE(A1155,""id"",""en"")"),"appears worried about disturbing the distribution of goods")</f>
        <v>appears worried about disturbing the distribution of goods</v>
      </c>
    </row>
    <row r="1107" spans="1:2" x14ac:dyDescent="0.2">
      <c r="A1107" s="1" t="s">
        <v>3286</v>
      </c>
      <c r="B1107" s="1" t="str">
        <f ca="1">IFERROR(__xludf.DUMFUNCTION("GOOGLETRANSLATE(A1156,""id"",""en"")"),"list of fuel subsidies for the special  website in Bandarlampung Sumatran")</f>
        <v>list of fuel subsidies for the special  website in Bandarlampung Sumatran</v>
      </c>
    </row>
    <row r="1108" spans="1:2" x14ac:dyDescent="0.2">
      <c r="A1108" s="1" t="s">
        <v>3287</v>
      </c>
      <c r="B1108" s="1" t="str">
        <f ca="1">IFERROR(__xludf.DUMFUNCTION("GOOGLETRANSLATE(A1157,""id"",""en"")"),"Permission to ask the tablet to teach Mas Zelensky Install  Fun Tablet Mas Zelensky Silent Liatin Mas Zelensky Talk Heart")</f>
        <v>Permission to ask the tablet to teach Mas Zelensky Install  Fun Tablet Mas Zelensky Silent Liatin Mas Zelensky Talk Heart</v>
      </c>
    </row>
    <row r="1109" spans="1:2" x14ac:dyDescent="0.2">
      <c r="A1109" s="1" t="s">
        <v>3288</v>
      </c>
      <c r="B1109" s="1" t="str">
        <f ca="1">IFERROR(__xludf.DUMFUNCTION("GOOGLETRANSLATE(A1158,""id"",""en"")"),"buy lpg kg must list ")</f>
        <v xml:space="preserve">buy lpg kg must list </v>
      </c>
    </row>
    <row r="1110" spans="1:2" x14ac:dyDescent="0.2">
      <c r="A1110" s="1" t="s">
        <v>3289</v>
      </c>
      <c r="B1110" s="1" t="str">
        <f ca="1">IFERROR(__xludf.DUMFUNCTION("GOOGLETRANSLATE(A1159,""id"",""en"")"),"Motorcycle Buy Pertalite Using the  Bandung Application  Motor   Pombensin Pombensin Gasoline Car Arrange NATIONAL PRMN PRIVATE VNATYATAHABATUMKMKMS IMAHRAKYATIATME")</f>
        <v>Motorcycle Buy Pertalite Using the  Bandung Application  Motor   Pombensin Pombensin Gasoline Car Arrange NATIONAL PRMN PRIVATE VNATYATAHABATUMKMKMS IMAHRAKYATIATME</v>
      </c>
    </row>
    <row r="1111" spans="1:2" x14ac:dyDescent="0.2">
      <c r="A1111" s="1" t="s">
        <v>68</v>
      </c>
      <c r="B1111" s="1" t="str">
        <f ca="1">IFERROR(__xludf.DUMFUNCTION("GOOGLETRANSLATE(A1160,""id"",""en"")"),"the subsidy that QR code is the result of verification of the register not QR code, yes, refuse to buy pertalite, read it so it doesn't digress")</f>
        <v>the subsidy that QR code is the result of verification of the register not QR code, yes, refuse to buy pertalite, read it so it doesn't digress</v>
      </c>
    </row>
    <row r="1112" spans="1:2" x14ac:dyDescent="0.2">
      <c r="A1112" s="1" t="s">
        <v>3290</v>
      </c>
      <c r="B1112" s="1" t="str">
        <f ca="1">IFERROR(__xludf.DUMFUNCTION("GOOGLETRANSLATE(A1161,""id"",""en"")"),"lazy to install ")</f>
        <v xml:space="preserve">lazy to install </v>
      </c>
    </row>
    <row r="1113" spans="1:2" x14ac:dyDescent="0.2">
      <c r="A1113" s="1" t="s">
        <v>69</v>
      </c>
      <c r="B1113" s="1" t="str">
        <f ca="1">IFERROR(__xludf.DUMFUNCTION("GOOGLETRANSLATE(A1162,""id"",""en"")"),"ahead of the trial of the limit of buying a web application solar web address")</f>
        <v>ahead of the trial of the limit of buying a web application solar web address</v>
      </c>
    </row>
    <row r="1114" spans="1:2" x14ac:dyDescent="0.2">
      <c r="A1114" s="1" t="s">
        <v>3291</v>
      </c>
      <c r="B1114" s="1" t="str">
        <f ca="1">IFERROR(__xludf.DUMFUNCTION("GOOGLETRANSLATE(A1163,""id"",""en"")"),"English Module Selling Otniel Rupiah Price I don't have money I borrowed the module Io I bought a module to owe quel Age as tu tu habite Londr je suis etudiante comment tu Appelles ")</f>
        <v xml:space="preserve">English Module Selling Otniel Rupiah Price I don't have money I borrowed the module Io I bought a module to owe quel Age as tu tu habite Londr je suis etudiante comment tu Appelles </v>
      </c>
    </row>
    <row r="1115" spans="1:2" x14ac:dyDescent="0.2">
      <c r="A1115" s="1" t="s">
        <v>70</v>
      </c>
      <c r="B1115" s="1" t="str">
        <f ca="1">IFERROR(__xludf.DUMFUNCTION("GOOGLETRANSLATE(A1164,""id"",""en"")"),"Length of consumer list")</f>
        <v>Length of consumer list</v>
      </c>
    </row>
    <row r="1116" spans="1:2" x14ac:dyDescent="0.2">
      <c r="A1116" s="1" t="s">
        <v>3292</v>
      </c>
      <c r="B1116" s="1" t="str">
        <f ca="1">IFERROR(__xludf.DUMFUNCTION("GOOGLETRANSLATE(A1165,""id"",""en"")"),"misunderstanding see clearly buy pertalite using a complete .")</f>
        <v>misunderstanding see clearly buy pertalite using a complete .</v>
      </c>
    </row>
    <row r="1117" spans="1:2" x14ac:dyDescent="0.2">
      <c r="A1117" s="1" t="s">
        <v>3293</v>
      </c>
      <c r="B1117" s="1" t="str">
        <f ca="1">IFERROR(__xludf.DUMFUNCTION("GOOGLETRANSLATE(A1166,""id"",""en"")"),"Let's Quality ")</f>
        <v xml:space="preserve">Let's Quality </v>
      </c>
    </row>
    <row r="1118" spans="1:2" x14ac:dyDescent="0.2">
      <c r="A1118" s="1" t="s">
        <v>3294</v>
      </c>
      <c r="B1118" s="1" t="str">
        <f ca="1">IFERROR(__xludf.DUMFUNCTION("GOOGLETRANSLATE(A1167,""id"",""en"")"),"access to the offline transaction  application")</f>
        <v>access to the offline transaction  application</v>
      </c>
    </row>
    <row r="1119" spans="1:2" x14ac:dyDescent="0.2">
      <c r="A1119" s="1" t="s">
        <v>71</v>
      </c>
      <c r="B1119" s="1" t="str">
        <f ca="1">IFERROR(__xludf.DUMFUNCTION("GOOGLETRANSLATE(A1168,""id"",""en"")"),"business news news logistics transportation")</f>
        <v>business news news logistics transportation</v>
      </c>
    </row>
    <row r="1120" spans="1:2" x14ac:dyDescent="0.2">
      <c r="A1120" s="1" t="s">
        <v>3295</v>
      </c>
      <c r="B1120" s="1" t="str">
        <f ca="1">IFERROR(__xludf.DUMFUNCTION("GOOGLETRANSLATE(A1169,""id"",""en"")"),"Crazy breakdown Buy gasoline using the  SPBU application, just prohibit photos of playing a motorcycle cellphone")</f>
        <v>Crazy breakdown Buy gasoline using the  SPBU application, just prohibit photos of playing a motorcycle cellphone</v>
      </c>
    </row>
    <row r="1121" spans="1:2" x14ac:dyDescent="0.2">
      <c r="A1121" s="1" t="s">
        <v>3296</v>
      </c>
      <c r="B1121" s="1" t="str">
        <f ca="1">IFERROR(__xludf.DUMFUNCTION("GOOGLETRANSLATE(A1170,""id"",""en"")"),"JULY Society List of the  Application Website Buy Pertalite Solar")</f>
        <v>JULY Society List of the  Application Website Buy Pertalite Solar</v>
      </c>
    </row>
    <row r="1122" spans="1:2" x14ac:dyDescent="0.2">
      <c r="A1122" s="1" t="s">
        <v>3297</v>
      </c>
      <c r="B1122" s="1" t="str">
        <f ca="1">IFERROR(__xludf.DUMFUNCTION("GOOGLETRANSLATE(A1171,""id"",""en"")"),"fuck  buy a retail tomorrow")</f>
        <v>fuck  buy a retail tomorrow</v>
      </c>
    </row>
    <row r="1123" spans="1:2" x14ac:dyDescent="0.2">
      <c r="A1123" s="1" t="s">
        <v>3298</v>
      </c>
      <c r="B1123" s="1" t="str">
        <f ca="1">IFERROR(__xludf.DUMFUNCTION("GOOGLETRANSLATE(A1172,""id"",""en"")"),"List of  Difficult Community")</f>
        <v>List of  Difficult Community</v>
      </c>
    </row>
    <row r="1124" spans="1:2" x14ac:dyDescent="0.2">
      <c r="A1124" s="1" t="s">
        <v>3299</v>
      </c>
      <c r="B1124" s="1" t="str">
        <f ca="1">IFERROR(__xludf.DUMFUNCTION("GOOGLETRANSLATE(A1173,""id"",""en"")"),"how come the wheel is no longer a list of ")</f>
        <v xml:space="preserve">how come the wheel is no longer a list of </v>
      </c>
    </row>
    <row r="1125" spans="1:2" x14ac:dyDescent="0.2">
      <c r="A1125" s="1" t="s">
        <v>3300</v>
      </c>
      <c r="B1125" s="1" t="str">
        <f ca="1">IFERROR(__xludf.DUMFUNCTION("GOOGLETRANSLATE(A1174,""id"",""en"")"),"tuku crackers yo donlot ")</f>
        <v xml:space="preserve">tuku crackers yo donlot </v>
      </c>
    </row>
    <row r="1126" spans="1:2" x14ac:dyDescent="0.2">
      <c r="A1126" s="1" t="s">
        <v>3301</v>
      </c>
      <c r="B1126" s="1" t="str">
        <f ca="1">IFERROR(__xludf.DUMFUNCTION("GOOGLETRANSLATE(A1175,""id"",""en"")"),"buy fuel subsidies  special vehicles")</f>
        <v>buy fuel subsidies  special vehicles</v>
      </c>
    </row>
    <row r="1127" spans="1:2" x14ac:dyDescent="0.2">
      <c r="A1127" s="1" t="s">
        <v>3302</v>
      </c>
      <c r="B1127" s="1" t="str">
        <f ca="1">IFERROR(__xludf.DUMFUNCTION("GOOGLETRANSLATE(A1176,""id"",""en"")")," applications are rarely forced by people to install so that the business of the cuan cuan application")</f>
        <v xml:space="preserve"> applications are rarely forced by people to install so that the business of the cuan cuan application</v>
      </c>
    </row>
    <row r="1128" spans="1:2" x14ac:dyDescent="0.2">
      <c r="A1128" s="1" t="s">
        <v>71</v>
      </c>
      <c r="B1128" s="1" t="str">
        <f ca="1">IFERROR(__xludf.DUMFUNCTION("GOOGLETRANSLATE(A1177,""id"",""en"")"),"business news news logistics transportation")</f>
        <v>business news news logistics transportation</v>
      </c>
    </row>
    <row r="1129" spans="1:2" x14ac:dyDescent="0.2">
      <c r="A1129" s="1" t="s">
        <v>2457</v>
      </c>
      <c r="B1129" s="1" t="str">
        <f ca="1">IFERROR(__xludf.DUMFUNCTION("GOOGLETRANSLATE(A1178,""id"",""en"")"),"after filling the full tank using the  application")</f>
        <v>after filling the full tank using the  application</v>
      </c>
    </row>
    <row r="1130" spans="1:2" x14ac:dyDescent="0.2">
      <c r="A1130" s="1" t="s">
        <v>2866</v>
      </c>
      <c r="B1130" s="1" t="str">
        <f ca="1">IFERROR(__xludf.DUMFUNCTION("GOOGLETRANSLATE(A1179,""id"",""en"")"),"For your info on Sasar July, , open the list of  websites")</f>
        <v>For your info on Sasar July, , open the list of  websites</v>
      </c>
    </row>
    <row r="1131" spans="1:2" x14ac:dyDescent="0.2">
      <c r="A1131" s="1" t="s">
        <v>3303</v>
      </c>
      <c r="B1131" s="1" t="str">
        <f ca="1">IFERROR(__xludf.DUMFUNCTION("GOOGLETRANSLATE(A1180,""id"",""en"")"),"I go to  to buy gas easy to find easy to buy gas easy gas, so kaipay, it's better if you're better, it's better to make it rich")</f>
        <v>I go to  to buy gas easy to find easy to buy gas easy gas, so kaipay, it's better if you're better, it's better to make it rich</v>
      </c>
    </row>
    <row r="1132" spans="1:2" x14ac:dyDescent="0.2">
      <c r="A1132" s="1" t="s">
        <v>2865</v>
      </c>
      <c r="B1132" s="1" t="str">
        <f ca="1">IFERROR(__xludf.DUMFUNCTION("GOOGLETRANSLATE(A1182,""id"",""en"")"),"I really support the Sasar July subsidy  open the list of  websites")</f>
        <v>I really support the Sasar July subsidy  open the list of  websites</v>
      </c>
    </row>
    <row r="1133" spans="1:2" x14ac:dyDescent="0.2">
      <c r="A1133" s="1" t="s">
        <v>71</v>
      </c>
      <c r="B1133" s="1" t="str">
        <f ca="1">IFERROR(__xludf.DUMFUNCTION("GOOGLETRANSLATE(A1183,""id"",""en"")"),"business news news logistics transportation")</f>
        <v>business news news logistics transportation</v>
      </c>
    </row>
    <row r="1134" spans="1:2" x14ac:dyDescent="0.2">
      <c r="A1134" s="1" t="s">
        <v>3304</v>
      </c>
      <c r="B1134" s="1" t="str">
        <f ca="1">IFERROR(__xludf.DUMFUNCTION("GOOGLETRANSLATE(A1184,""id"",""en"")"),"Bodoamat  aq cmn qm priority")</f>
        <v>Bodoamat  aq cmn qm priority</v>
      </c>
    </row>
    <row r="1135" spans="1:2" x14ac:dyDescent="0.2">
      <c r="A1135" s="1" t="s">
        <v>2861</v>
      </c>
      <c r="B1135" s="1" t="str">
        <f ca="1">IFERROR(__xludf.DUMFUNCTION("GOOGLETRANSLATE(A1185,""id"",""en"")"),"ayoo list of Sasar July subsidies  Open the list of  websites")</f>
        <v>ayoo list of Sasar July subsidies  Open the list of  websites</v>
      </c>
    </row>
    <row r="1136" spans="1:2" x14ac:dyDescent="0.2">
      <c r="A1136" s="1" t="s">
        <v>71</v>
      </c>
      <c r="B1136" s="1" t="str">
        <f ca="1">IFERROR(__xludf.DUMFUNCTION("GOOGLETRANSLATE(A1186,""id"",""en"")"),"business news news logistics transportation")</f>
        <v>business news news logistics transportation</v>
      </c>
    </row>
    <row r="1137" spans="1:2" x14ac:dyDescent="0.2">
      <c r="A1137" s="1" t="s">
        <v>2854</v>
      </c>
      <c r="B1137" s="1" t="str">
        <f ca="1">IFERROR(__xludf.DUMFUNCTION("GOOGLETRANSLATE(A1187,""id"",""en"")"),"Sasar Salasi July  Open the list of  websites, it is really mandatory")</f>
        <v>Sasar Salasi July  Open the list of  websites, it is really mandatory</v>
      </c>
    </row>
    <row r="1138" spans="1:2" x14ac:dyDescent="0.2">
      <c r="A1138" s="1" t="s">
        <v>3298</v>
      </c>
      <c r="B1138" s="1" t="str">
        <f ca="1">IFERROR(__xludf.DUMFUNCTION("GOOGLETRANSLATE(A1188,""id"",""en"")"),"List of  Difficult Community")</f>
        <v>List of  Difficult Community</v>
      </c>
    </row>
    <row r="1139" spans="1:2" x14ac:dyDescent="0.2">
      <c r="A1139" s="1" t="s">
        <v>3040</v>
      </c>
      <c r="B1139" s="1" t="str">
        <f ca="1">IFERROR(__xludf.DUMFUNCTION("GOOGLETRANSLATE(A1189,""id"",""en"")"),"Sasar Salasi July  Open List of 's Website Steps")</f>
        <v>Sasar Salasi July  Open List of 's Website Steps</v>
      </c>
    </row>
    <row r="1140" spans="1:2" x14ac:dyDescent="0.2">
      <c r="A1140" s="1" t="s">
        <v>3305</v>
      </c>
      <c r="B1140" s="1" t="str">
        <f ca="1">IFERROR(__xludf.DUMFUNCTION("GOOGLETRANSLATE(A1190,""id"",""en"")"),"Watch Bbm  Youtube Gt Gt Gt Application")</f>
        <v>Watch Bbm  Youtube Gt Gt Gt Application</v>
      </c>
    </row>
    <row r="1141" spans="1:2" x14ac:dyDescent="0.2">
      <c r="A1141" s="1" t="s">
        <v>3306</v>
      </c>
      <c r="B1141" s="1" t="str">
        <f ca="1">IFERROR(__xludf.DUMFUNCTION("GOOGLETRANSLATE(A1191,""id"",""en"")"),"wrong buying fuel using the  application")</f>
        <v>wrong buying fuel using the  application</v>
      </c>
    </row>
    <row r="1142" spans="1:2" x14ac:dyDescent="0.2">
      <c r="A1142" s="1" t="s">
        <v>66</v>
      </c>
      <c r="B1142" s="1" t="str">
        <f ca="1">IFERROR(__xludf.DUMFUNCTION("GOOGLETRANSLATE(A1192,""id"",""en"")"),"LPG KG KGGGANG SYSTEMS OF APPERAL REGISTRATION")</f>
        <v>LPG KG KGGGANG SYSTEMS OF APPERAL REGISTRATION</v>
      </c>
    </row>
    <row r="1143" spans="1:2" x14ac:dyDescent="0.2">
      <c r="A1143" s="1" t="s">
        <v>2852</v>
      </c>
      <c r="B1143" s="1" t="str">
        <f ca="1">IFERROR(__xludf.DUMFUNCTION("GOOGLETRANSLATE(A1193,""id"",""en"")"),"Sasar Salasi July  Open a list of Practical Effective  websites")</f>
        <v>Sasar Salasi July  Open a list of Practical Effective  websites</v>
      </c>
    </row>
    <row r="1144" spans="1:2" x14ac:dyDescent="0.2">
      <c r="A1144" s="1" t="s">
        <v>3307</v>
      </c>
      <c r="B1144" s="1" t="str">
        <f ca="1">IFERROR(__xludf.DUMFUNCTION("GOOGLETRANSLATE(A1194,""id"",""en"")"),"mom is complicated, buy lpg kg using the  application")</f>
        <v>mom is complicated, buy lpg kg using the  application</v>
      </c>
    </row>
    <row r="1145" spans="1:2" x14ac:dyDescent="0.2">
      <c r="A1145" s="1" t="s">
        <v>3042</v>
      </c>
      <c r="B1145" s="1" t="str">
        <f ca="1">IFERROR(__xludf.DUMFUNCTION("GOOGLETRANSLATE(A1195,""id"",""en"")"),"FYI SUBSIDI SASAR SUBSIDI  OPEN THE  WEBSITE LIST OF YGY LIST")</f>
        <v>FYI SUBSIDI SASAR SUBSIDI  OPEN THE  WEBSITE LIST OF YGY LIST</v>
      </c>
    </row>
    <row r="1146" spans="1:2" x14ac:dyDescent="0.2">
      <c r="A1146" s="1" t="s">
        <v>3308</v>
      </c>
      <c r="B1146" s="1" t="str">
        <f ca="1">IFERROR(__xludf.DUMFUNCTION("GOOGLETRANSLATE(A1196,""id"",""en"")"),"bro, just think about the KTP list of KTP Garage House Pajero MSK Criteria org need subsidized BBM, don't know when the validation of  doesn't think sm bro")</f>
        <v>bro, just think about the KTP list of KTP Garage House Pajero MSK Criteria org need subsidized BBM, don't know when the validation of  doesn't think sm bro</v>
      </c>
    </row>
    <row r="1147" spans="1:2" x14ac:dyDescent="0.2">
      <c r="A1147" s="1" t="s">
        <v>3309</v>
      </c>
      <c r="B1147" s="1" t="str">
        <f ca="1">IFERROR(__xludf.DUMFUNCTION("GOOGLETRANSLATE(A1197,""id"",""en"")"),"Guys Subsidies Sasar July  Open List of 's Website Supports BGT Efforts")</f>
        <v>Guys Subsidies Sasar July  Open List of 's Website Supports BGT Efforts</v>
      </c>
    </row>
    <row r="1148" spans="1:2" x14ac:dyDescent="0.2">
      <c r="A1148" s="1" t="s">
        <v>3310</v>
      </c>
      <c r="B1148" s="1" t="str">
        <f ca="1">IFERROR(__xludf.DUMFUNCTION("GOOGLETRANSLATE(A1198,""id"",""en"")"),"Buy Pertalite Solar Tight Mandatory Consumer List ")</f>
        <v xml:space="preserve">Buy Pertalite Solar Tight Mandatory Consumer List </v>
      </c>
    </row>
    <row r="1149" spans="1:2" x14ac:dyDescent="0.2">
      <c r="A1149" s="1" t="s">
        <v>3311</v>
      </c>
      <c r="B1149" s="1" t="str">
        <f ca="1">IFERROR(__xludf.DUMFUNCTION("GOOGLETRANSLATE(A1199,""id"",""en"")"),"worried about the failure of  access to anticipate")</f>
        <v>worried about the failure of  access to anticipate</v>
      </c>
    </row>
    <row r="1150" spans="1:2" x14ac:dyDescent="0.2">
      <c r="A1150" s="1" t="s">
        <v>3312</v>
      </c>
      <c r="B1150" s="1" t="str">
        <f ca="1">IFERROR(__xludf.DUMFUNCTION("GOOGLETRANSLATE(A1200,""id"",""en"")"),"Key Context Image The   Pertalite Pertamax application is rejecting the application")</f>
        <v>Key Context Image The   Pertalite Pertamax application is rejecting the application</v>
      </c>
    </row>
    <row r="1151" spans="1:2" x14ac:dyDescent="0.2">
      <c r="A1151" s="1" t="s">
        <v>3313</v>
      </c>
      <c r="B1151" s="1" t="str">
        <f ca="1">IFERROR(__xludf.DUMFUNCTION("GOOGLETRANSLATE(A1201,""id"",""en"")"),"Fill in full, okay, pay for cash pertmina using  for a while opening the dul twoaaar app")</f>
        <v>Fill in full, okay, pay for cash pertmina using  for a while opening the dul twoaaar app</v>
      </c>
    </row>
    <row r="1152" spans="1:2" x14ac:dyDescent="0.2">
      <c r="A1152" s="1" t="s">
        <v>3313</v>
      </c>
      <c r="B1152" s="1" t="str">
        <f ca="1">IFERROR(__xludf.DUMFUNCTION("GOOGLETRANSLATE(A1202,""id"",""en"")"),"Fill in full, okay, pay for cash pertmina using  for a while opening the dul twoaaar app")</f>
        <v>Fill in full, okay, pay for cash pertmina using  for a while opening the dul twoaaar app</v>
      </c>
    </row>
    <row r="1153" spans="1:2" x14ac:dyDescent="0.2">
      <c r="A1153" s="1" t="s">
        <v>3314</v>
      </c>
      <c r="B1153" s="1" t="str">
        <f ca="1">IFERROR(__xludf.DUMFUNCTION("GOOGLETRANSLATE(A1203,""id"",""en"")"),"Complaints of the user  with a quota running out oia  covering the subsidy to the operator down to buy due to the adjustment of the business system to find the profit of your grandmother")</f>
        <v>Complaints of the user  with a quota running out oia  covering the subsidy to the operator down to buy due to the adjustment of the business system to find the profit of your grandmother</v>
      </c>
    </row>
    <row r="1154" spans="1:2" x14ac:dyDescent="0.2">
      <c r="A1154" s="1" t="s">
        <v>3315</v>
      </c>
      <c r="B1154" s="1" t="str">
        <f ca="1">IFERROR(__xludf.DUMFUNCTION("GOOGLETRANSLATE(A1204,""id"",""en"")"),"List of  Applications Easily Ribet Needs Transaction minutes")</f>
        <v>List of  Applications Easily Ribet Needs Transaction minutes</v>
      </c>
    </row>
    <row r="1155" spans="1:2" x14ac:dyDescent="0.2">
      <c r="A1155" s="1" t="s">
        <v>3316</v>
      </c>
      <c r="B1155" s="1" t="str">
        <f ca="1">IFERROR(__xludf.DUMFUNCTION("GOOGLETRANSLATE(A1205,""id"",""en"")"),"Crowded Citizen Rating of  Application because")</f>
        <v>Crowded Citizen Rating of  Application because</v>
      </c>
    </row>
    <row r="1156" spans="1:2" x14ac:dyDescent="0.2">
      <c r="A1156" s="1" t="s">
        <v>3317</v>
      </c>
      <c r="B1156" s="1" t="str">
        <f ca="1">IFERROR(__xludf.DUMFUNCTION("GOOGLETRANSLATE(A1206,""id"",""en"")"),"Buy Cooking Oil Using KTP Pedulilat Protected buy solar pertalite using the  application for a while using a SIM")</f>
        <v>Buy Cooking Oil Using KTP Pedulilat Protected buy solar pertalite using the  application for a while using a SIM</v>
      </c>
    </row>
    <row r="1157" spans="1:2" x14ac:dyDescent="0.2">
      <c r="A1157" s="1" t="s">
        <v>3318</v>
      </c>
      <c r="B1157" s="1" t="str">
        <f ca="1">IFERROR(__xludf.DUMFUNCTION("GOOGLETRANSLATE(A1208,""id"",""en"")"),"Recommendations for Shirt Jordi  Friday Night Putin BPJS")</f>
        <v>Recommendations for Shirt Jordi  Friday Night Putin BPJS</v>
      </c>
    </row>
    <row r="1158" spans="1:2" x14ac:dyDescent="0.2">
      <c r="A1158" s="1" t="s">
        <v>3319</v>
      </c>
      <c r="B1158" s="1" t="str">
        <f ca="1">IFERROR(__xludf.DUMFUNCTION("GOOGLETRANSLATE(A1209,""id"",""en"")"),"Crazy breakdown Buy gasoline using the  SPBU application, just prohibit photos of Playing Motor Car Fill in BBM")</f>
        <v>Crazy breakdown Buy gasoline using the  SPBU application, just prohibit photos of Playing Motor Car Fill in BBM</v>
      </c>
    </row>
    <row r="1159" spans="1:2" x14ac:dyDescent="0.2">
      <c r="A1159" s="1" t="s">
        <v>3320</v>
      </c>
      <c r="B1159" s="1" t="str">
        <f ca="1">IFERROR(__xludf.DUMFUNCTION("GOOGLETRANSLATE(A1210,""id"",""en"")")," see how six of the new normal back to the og")</f>
        <v xml:space="preserve"> see how six of the new normal back to the og</v>
      </c>
    </row>
    <row r="1160" spans="1:2" x14ac:dyDescent="0.2">
      <c r="A1160" s="1" t="s">
        <v>3321</v>
      </c>
      <c r="B1160" s="1" t="str">
        <f ca="1">IFERROR(__xludf.DUMFUNCTION("GOOGLETRANSLATE(A1211,""id"",""en"")"),"I don't use , it's jammed, using ")</f>
        <v xml:space="preserve">I don't use , it's jammed, using </v>
      </c>
    </row>
    <row r="1161" spans="1:2" x14ac:dyDescent="0.2">
      <c r="A1161" s="1" t="s">
        <v>3322</v>
      </c>
      <c r="B1161" s="1" t="str">
        <f ca="1">IFERROR(__xludf.DUMFUNCTION("GOOGLETRANSLATE(A1212,""id"",""en"")"),"waiting for the breakthrough of the higher ups time if Ken modol download modol app haha ​​ is far away")</f>
        <v>waiting for the breakthrough of the higher ups time if Ken modol download modol app haha ​​ is far away</v>
      </c>
    </row>
    <row r="1162" spans="1:2" x14ac:dyDescent="0.2">
      <c r="A1162" s="1" t="s">
        <v>3323</v>
      </c>
      <c r="B1162" s="1" t="str">
        <f ca="1">IFERROR(__xludf.DUMFUNCTION("GOOGLETRANSLATE(A1213,""id"",""en"")"),"queuing stations Paku Jaya Pinang Tangerang Impact Info  Bpk Ade Elshintanews")</f>
        <v>queuing stations Paku Jaya Pinang Tangerang Impact Info  Bpk Ade Elshintanews</v>
      </c>
    </row>
    <row r="1163" spans="1:2" x14ac:dyDescent="0.2">
      <c r="A1163" s="1" t="s">
        <v>72</v>
      </c>
      <c r="B1163" s="1" t="str">
        <f ca="1">IFERROR(__xludf.DUMFUNCTION("GOOGLETRANSLATE(A1214,""id"",""en"")"),"list of web cm, the cellphone that can already be diblg times if you are confused")</f>
        <v>list of web cm, the cellphone that can already be diblg times if you are confused</v>
      </c>
    </row>
    <row r="1164" spans="1:2" x14ac:dyDescent="0.2">
      <c r="A1164" s="1" t="s">
        <v>3324</v>
      </c>
      <c r="B1164" s="1" t="str">
        <f ca="1">IFERROR(__xludf.DUMFUNCTION("GOOGLETRANSLATE(A1215,""id"",""en"")"),"Buy Pertalite Solar Mandatory Using the  Application July List")</f>
        <v>Buy Pertalite Solar Mandatory Using the  Application July List</v>
      </c>
    </row>
    <row r="1165" spans="1:2" x14ac:dyDescent="0.2">
      <c r="A1165" s="1" t="s">
        <v>3325</v>
      </c>
      <c r="B1165" s="1" t="str">
        <f ca="1">IFERROR(__xludf.DUMFUNCTION("GOOGLETRANSLATE(A1216,""id"",""en"")")," tests testing the implementation stage for the  application to buy pertalite biosolar")</f>
        <v xml:space="preserve"> tests testing the implementation stage for the  application to buy pertalite biosolar</v>
      </c>
    </row>
    <row r="1166" spans="1:2" x14ac:dyDescent="0.2">
      <c r="A1166" s="1" t="s">
        <v>3326</v>
      </c>
      <c r="B1166" s="1" t="str">
        <f ca="1">IFERROR(__xludf.DUMFUNCTION("GOOGLETRANSLATE(A1217,""id"",""en"")"),"Really really I have to registered in  mobile people home people")</f>
        <v>Really really I have to registered in  mobile people home people</v>
      </c>
    </row>
    <row r="1167" spans="1:2" x14ac:dyDescent="0.2">
      <c r="A1167" s="1" t="s">
        <v>3327</v>
      </c>
      <c r="B1167" s="1" t="str">
        <f ca="1">IFERROR(__xludf.DUMFUNCTION("GOOGLETRANSLATE(A1218,""id"",""en"")"),"due to the rating of the  application")</f>
        <v>due to the rating of the  application</v>
      </c>
    </row>
    <row r="1168" spans="1:2" x14ac:dyDescent="0.2">
      <c r="A1168" s="1" t="s">
        <v>3328</v>
      </c>
      <c r="B1168" s="1" t="str">
        <f ca="1">IFERROR(__xludf.DUMFUNCTION("GOOGLETRANSLATE(A1219,""id"",""en"")"),"Jokowi canceled the list of  not hearing the true under the minister of the street no matter about Jokowi the name of the power of power")</f>
        <v>Jokowi canceled the list of  not hearing the true under the minister of the street no matter about Jokowi the name of the power of power</v>
      </c>
    </row>
    <row r="1169" spans="1:2" x14ac:dyDescent="0.2">
      <c r="A1169" s="1" t="s">
        <v>3329</v>
      </c>
      <c r="B1169" s="1" t="str">
        <f ca="1">IFERROR(__xludf.DUMFUNCTION("GOOGLETRANSLATE(A1220,""id"",""en"")"),"PB HMI Terms of  Application Difficult People to Get BBM")</f>
        <v>PB HMI Terms of  Application Difficult People to Get BBM</v>
      </c>
    </row>
    <row r="1170" spans="1:2" x14ac:dyDescent="0.2">
      <c r="A1170" s="1" t="s">
        <v>3330</v>
      </c>
      <c r="B1170" s="1" t="str">
        <f ca="1">IFERROR(__xludf.DUMFUNCTION("GOOGLETRANSLATE(A1221,""id"",""en"")"),"The  application is not really please please")</f>
        <v>The  application is not really please please</v>
      </c>
    </row>
    <row r="1171" spans="1:2" x14ac:dyDescent="0.2">
      <c r="A1171" s="1" t="s">
        <v>3331</v>
      </c>
      <c r="B1171" s="1" t="str">
        <f ca="1">IFERROR(__xludf.DUMFUNCTION("GOOGLETRANSLATE(A1222,""id"",""en"")"),"tomorrow the trial area to buy a solar pertalite using the  application")</f>
        <v>tomorrow the trial area to buy a solar pertalite using the  application</v>
      </c>
    </row>
    <row r="1172" spans="1:2" x14ac:dyDescent="0.2">
      <c r="A1172" s="1" t="s">
        <v>3332</v>
      </c>
      <c r="B1172" s="1" t="str">
        <f ca="1">IFERROR(__xludf.DUMFUNCTION("GOOGLETRANSLATE(A1223,""id"",""en"")"),"Don't play a gas station, buy pertalite, you have to use ")</f>
        <v xml:space="preserve">Don't play a gas station, buy pertalite, you have to use </v>
      </c>
    </row>
    <row r="1173" spans="1:2" x14ac:dyDescent="0.2">
      <c r="A1173" s="1" t="s">
        <v>3333</v>
      </c>
      <c r="B1173" s="1" t="str">
        <f ca="1">IFERROR(__xludf.DUMFUNCTION("GOOGLETRANSLATE(A1224,""id"",""en"")"),"Bottom up Example  Buy Pertalite Gas Jakarta")</f>
        <v>Bottom up Example  Buy Pertalite Gas Jakarta</v>
      </c>
    </row>
    <row r="1174" spans="1:2" x14ac:dyDescent="0.2">
      <c r="A1174" s="1" t="s">
        <v>3334</v>
      </c>
      <c r="B1174" s="1" t="str">
        <f ca="1">IFERROR(__xludf.DUMFUNCTION("GOOGLETRANSLATE(A1225,""id"",""en"")")," Corporate Secretary Patra Niaga Irto Ginting Mention for QR Code  Press the Fuel Fuel Manipulation Figure Numbers")</f>
        <v xml:space="preserve"> Corporate Secretary Patra Niaga Irto Ginting Mention for QR Code  Press the Fuel Fuel Manipulation Figure Numbers</v>
      </c>
    </row>
    <row r="1175" spans="1:2" x14ac:dyDescent="0.2">
      <c r="A1175" s="1" t="s">
        <v>3335</v>
      </c>
      <c r="B1175" s="1" t="str">
        <f ca="1">IFERROR(__xludf.DUMFUNCTION("GOOGLETRANSLATE(A1226,""id"",""en"")"),"Fill gasoline mas tetring bleh no quota bwat bka  bka tank tank bleh bro, yes krjaku in the heart")</f>
        <v>Fill gasoline mas tetring bleh no quota bwat bka  bka tank tank bleh bro, yes krjaku in the heart</v>
      </c>
    </row>
    <row r="1176" spans="1:2" x14ac:dyDescent="0.2">
      <c r="A1176" s="1" t="s">
        <v>3336</v>
      </c>
      <c r="B1176" s="1" t="str">
        <f ca="1">IFERROR(__xludf.DUMFUNCTION("GOOGLETRANSLATE(A1227,""id"",""en"")")," The consultant is the internal developer")</f>
        <v xml:space="preserve"> The consultant is the internal developer</v>
      </c>
    </row>
    <row r="1177" spans="1:2" x14ac:dyDescent="0.2">
      <c r="A1177" s="1" t="s">
        <v>3337</v>
      </c>
      <c r="B1177" s="1" t="str">
        <f ca="1">IFERROR(__xludf.DUMFUNCTION("GOOGLETRANSLATE(A1228,""id"",""en"")"),"thankfully because it doesn't enter the mandatory list of ")</f>
        <v xml:space="preserve">thankfully because it doesn't enter the mandatory list of </v>
      </c>
    </row>
    <row r="1178" spans="1:2" x14ac:dyDescent="0.2">
      <c r="A1178" s="1" t="s">
        <v>3338</v>
      </c>
      <c r="B1178" s="1" t="str">
        <f ca="1">IFERROR(__xludf.DUMFUNCTION("GOOGLETRANSLATE(A1229,""id"",""en"")"),"circulation of social media narrative Facebook account name Alana Alfanayra upload claims to buy fuel for  gas station applications ")</f>
        <v xml:space="preserve">circulation of social media narrative Facebook account name Alana Alfanayra upload claims to buy fuel for  gas station applications </v>
      </c>
    </row>
    <row r="1179" spans="1:2" x14ac:dyDescent="0.2">
      <c r="A1179" s="1" t="s">
        <v>3306</v>
      </c>
      <c r="B1179" s="1" t="str">
        <f ca="1">IFERROR(__xludf.DUMFUNCTION("GOOGLETRANSLATE(A1230,""id"",""en"")"),"wrong buying fuel using the  application")</f>
        <v>wrong buying fuel using the  application</v>
      </c>
    </row>
    <row r="1180" spans="1:2" x14ac:dyDescent="0.2">
      <c r="A1180" s="1" t="s">
        <v>3339</v>
      </c>
      <c r="B1180" s="1" t="str">
        <f ca="1">IFERROR(__xludf.DUMFUNCTION("GOOGLETRANSLATE(A1231,""id"",""en"")")," gamau makes an alternative option like that, pay via  using the link, so the seargate is if the option is pay")</f>
        <v xml:space="preserve"> gamau makes an alternative option like that, pay via  using the link, so the seargate is if the option is pay</v>
      </c>
    </row>
    <row r="1181" spans="1:2" x14ac:dyDescent="0.2">
      <c r="A1181" s="1" t="s">
        <v>3340</v>
      </c>
      <c r="B1181" s="1" t="str">
        <f ca="1">IFERROR(__xludf.DUMFUNCTION("GOOGLETRANSLATE(A1232,""id"",""en"")"),"Wait a minute  coupled with brando the playstore control")</f>
        <v>Wait a minute  coupled with brando the playstore control</v>
      </c>
    </row>
    <row r="1182" spans="1:2" x14ac:dyDescent="0.2">
      <c r="A1182" s="1" t="s">
        <v>3341</v>
      </c>
      <c r="B1182" s="1" t="str">
        <f ca="1">IFERROR(__xludf.DUMFUNCTION("GOOGLETRANSLATE(A1233,""id"",""en"")"),"List of BBM Use Subsidies  Website Open tomorrow July July specifically for  car wheel")</f>
        <v>List of BBM Use Subsidies  Website Open tomorrow July July specifically for  car wheel</v>
      </c>
    </row>
    <row r="1183" spans="1:2" x14ac:dyDescent="0.2">
      <c r="A1183" s="1" t="s">
        <v>3342</v>
      </c>
      <c r="B1183" s="1" t="str">
        <f ca="1">IFERROR(__xludf.DUMFUNCTION("GOOGLETRANSLATE(A1234,""id"",""en"")"),"Bljr ")</f>
        <v xml:space="preserve">Bljr </v>
      </c>
    </row>
    <row r="1184" spans="1:2" x14ac:dyDescent="0.2">
      <c r="A1184" s="1" t="s">
        <v>3343</v>
      </c>
      <c r="B1184" s="1" t="str">
        <f ca="1">IFERROR(__xludf.DUMFUNCTION("GOOGLETRANSLATE(A1235,""id"",""en"")"),"don't worry about accessing  application")</f>
        <v>don't worry about accessing  application</v>
      </c>
    </row>
    <row r="1185" spans="1:2" x14ac:dyDescent="0.2">
      <c r="A1185" s="1" t="s">
        <v>3296</v>
      </c>
      <c r="B1185" s="1" t="str">
        <f ca="1">IFERROR(__xludf.DUMFUNCTION("GOOGLETRANSLATE(A1236,""id"",""en"")"),"JULY Society List of the  Application Website Buy Pertalite Solar")</f>
        <v>JULY Society List of the  Application Website Buy Pertalite Solar</v>
      </c>
    </row>
    <row r="1186" spans="1:2" x14ac:dyDescent="0.2">
      <c r="A1186" s="1" t="s">
        <v>3344</v>
      </c>
      <c r="B1186" s="1" t="str">
        <f ca="1">IFERROR(__xludf.DUMFUNCTION("GOOGLETRANSLATE(A1237,""id"",""en"")"),"wkwkwk tomorrow I don't have the test of , Ken listen, wkwk")</f>
        <v>wkwkwk tomorrow I don't have the test of , Ken listen, wkwk</v>
      </c>
    </row>
    <row r="1187" spans="1:2" x14ac:dyDescent="0.2">
      <c r="A1187" s="1" t="s">
        <v>3345</v>
      </c>
      <c r="B1187" s="1" t="str">
        <f ca="1">IFERROR(__xludf.DUMFUNCTION("GOOGLETRANSLATE(A1238,""id"",""en"")"),"  Kai Kai Pay Into I don't have  to pay Cashless Doank kaipay like  mending kai access correctly buying easy tickets for good security server")</f>
        <v xml:space="preserve">  Kai Kai Pay Into I don't have  to pay Cashless Doank kaipay like  mending kai access correctly buying easy tickets for good security server</v>
      </c>
    </row>
    <row r="1188" spans="1:2" x14ac:dyDescent="0.2">
      <c r="A1188" s="1" t="s">
        <v>3346</v>
      </c>
      <c r="B1188" s="1" t="str">
        <f ca="1">IFERROR(__xludf.DUMFUNCTION("GOOGLETRANSLATE(A1239,""id"",""en"")"),"ASA Overseas Filling Gasoline Pressing the contents are really easy to do the country of Konoha using the application, making it complicated ")</f>
        <v xml:space="preserve">ASA Overseas Filling Gasoline Pressing the contents are really easy to do the country of Konoha using the application, making it complicated </v>
      </c>
    </row>
    <row r="1189" spans="1:2" x14ac:dyDescent="0.2">
      <c r="A1189" s="1" t="s">
        <v>3347</v>
      </c>
      <c r="B1189" s="1" t="str">
        <f ca="1">IFERROR(__xludf.DUMFUNCTION("GOOGLETRANSLATE(A1240,""id"",""en"")"),"Buy BBM using  Poor Smartphone Amp Internet")</f>
        <v>Buy BBM using  Poor Smartphone Amp Internet</v>
      </c>
    </row>
    <row r="1190" spans="1:2" x14ac:dyDescent="0.2">
      <c r="A1190" s="1" t="s">
        <v>960</v>
      </c>
      <c r="B1190" s="1" t="str">
        <f ca="1">IFERROR(__xludf.DUMFUNCTION("GOOGLETRANSLATE(A1241,""id"",""en"")"),"okay just now can be info again if the gas station is the test that is the trial that is the test that the car is not looking at the  tiktok if you pay for the distance from the contents, let's wait for the info again")</f>
        <v>okay just now can be info again if the gas station is the test that is the trial that is the test that the car is not looking at the  tiktok if you pay for the distance from the contents, let's wait for the info again</v>
      </c>
    </row>
    <row r="1191" spans="1:2" x14ac:dyDescent="0.2">
      <c r="A1191" s="1" t="s">
        <v>3348</v>
      </c>
      <c r="B1191" s="1" t="str">
        <f ca="1">IFERROR(__xludf.DUMFUNCTION("GOOGLETRANSLATE(A1242,""id"",""en"")"),"selling fuel keteng buy gas station using  or not jerry cans using license plate number")</f>
        <v>selling fuel keteng buy gas station using  or not jerry cans using license plate number</v>
      </c>
    </row>
    <row r="1192" spans="1:2" x14ac:dyDescent="0.2">
      <c r="A1192" s="1" t="s">
        <v>3349</v>
      </c>
      <c r="B1192" s="1" t="str">
        <f ca="1">IFERROR(__xludf.DUMFUNCTION("GOOGLETRANSLATE(A1243,""id"",""en"")"),"use the  application which is an error application because it requires stable internet gas station connection that does not support often the task of saying no base error is available")</f>
        <v>use the  application which is an error application because it requires stable internet gas station connection that does not support often the task of saying no base error is available</v>
      </c>
    </row>
    <row r="1193" spans="1:2" x14ac:dyDescent="0.2">
      <c r="A1193" s="1" t="s">
        <v>3350</v>
      </c>
      <c r="B1193" s="1" t="str">
        <f ca="1">IFERROR(__xludf.DUMFUNCTION("GOOGLETRANSLATE(A1245,""id"",""en"")"),"List of  Buy BBM Pertalite Summary Infographics")</f>
        <v>List of  Buy BBM Pertalite Summary Infographics</v>
      </c>
    </row>
    <row r="1194" spans="1:2" x14ac:dyDescent="0.2">
      <c r="A1194" s="1" t="s">
        <v>3351</v>
      </c>
      <c r="B1194" s="1" t="str">
        <f ca="1">IFERROR(__xludf.DUMFUNCTION("GOOGLETRANSLATE(A1246,""id"",""en"")"),"just  give a rating for the block")</f>
        <v>just  give a rating for the block</v>
      </c>
    </row>
    <row r="1195" spans="1:2" x14ac:dyDescent="0.2">
      <c r="A1195" s="1" t="s">
        <v>3352</v>
      </c>
      <c r="B1195" s="1" t="str">
        <f ca="1">IFERROR(__xludf.DUMFUNCTION("GOOGLETRANSLATE(A1247,""id"",""en"")"),"if you buy pertalite using  mod, you can get free stock gasoline, or not")</f>
        <v>if you buy pertalite using  mod, you can get free stock gasoline, or not</v>
      </c>
    </row>
    <row r="1196" spans="1:2" x14ac:dyDescent="0.2">
      <c r="A1196" s="1" t="s">
        <v>3353</v>
      </c>
      <c r="B1196" s="1" t="str">
        <f ca="1">IFERROR(__xludf.DUMFUNCTION("GOOGLETRANSLATE(A1248,""id"",""en"")"),"Follow Pertalite Buy LPG Subsidies Using ")</f>
        <v xml:space="preserve">Follow Pertalite Buy LPG Subsidies Using </v>
      </c>
    </row>
    <row r="1197" spans="1:2" x14ac:dyDescent="0.2">
      <c r="A1197" s="1" t="s">
        <v>3354</v>
      </c>
      <c r="B1197" s="1" t="str">
        <f ca="1">IFERROR(__xludf.DUMFUNCTION("GOOGLETRANSLATE(A1249,""id"",""en"")")," application is very ready for the support team")</f>
        <v xml:space="preserve"> application is very ready for the support team</v>
      </c>
    </row>
    <row r="1198" spans="1:2" x14ac:dyDescent="0.2">
      <c r="A1198" s="1" t="s">
        <v>3355</v>
      </c>
      <c r="B1198" s="1" t="str">
        <f ca="1">IFERROR(__xludf.DUMFUNCTION("GOOGLETRANSLATE(A1250,""id"",""en"")"),"Fak Juni Fak ")</f>
        <v xml:space="preserve">Fak Juni Fak </v>
      </c>
    </row>
    <row r="1199" spans="1:2" x14ac:dyDescent="0.2">
      <c r="A1199" s="1" t="s">
        <v>3356</v>
      </c>
      <c r="B1199" s="1" t="str">
        <f ca="1">IFERROR(__xludf.DUMFUNCTION("GOOGLETRANSLATE(A1251,""id"",""en"")"),"List of  owned by Kendara Roda")</f>
        <v>List of  owned by Kendara Roda</v>
      </c>
    </row>
    <row r="1200" spans="1:2" x14ac:dyDescent="0.2">
      <c r="A1200" s="1" t="s">
        <v>73</v>
      </c>
      <c r="B1200" s="1" t="str">
        <f ca="1">IFERROR(__xludf.DUMFUNCTION("GOOGLETRANSLATE(A1252,""id"",""en"")"),"Mens In Corpore Sano Change the name of the Rum Name Change")</f>
        <v>Mens In Corpore Sano Change the name of the Rum Name Change</v>
      </c>
    </row>
    <row r="1201" spans="1:2" x14ac:dyDescent="0.2">
      <c r="A1201" s="1" t="s">
        <v>3357</v>
      </c>
      <c r="B1201" s="1" t="str">
        <f ca="1">IFERROR(__xludf.DUMFUNCTION("GOOGLETRANSLATE(A1253,""id"",""en"")"),"Buy gasoline using the  application if the toilet is boker application name")</f>
        <v>Buy gasoline using the  application if the toilet is boker application name</v>
      </c>
    </row>
    <row r="1202" spans="1:2" x14ac:dyDescent="0.2">
      <c r="A1202" s="1" t="s">
        <v>2384</v>
      </c>
      <c r="B1202" s="1" t="str">
        <f ca="1">IFERROR(__xludf.DUMFUNCTION("GOOGLETRANSLATE(A1254,""id"",""en"")"),"Bandung City Government Kendara Motor uses the  application to buy Pertalite")</f>
        <v>Bandung City Government Kendara Motor uses the  application to buy Pertalite</v>
      </c>
    </row>
    <row r="1203" spans="1:2" x14ac:dyDescent="0.2">
      <c r="A1203" s="1" t="s">
        <v>961</v>
      </c>
      <c r="B1203" s="1" t="str">
        <f ca="1">IFERROR(__xludf.DUMFUNCTION("GOOGLETRANSLATE(A1255,""id"",""en"")")," Original  Imitation Society")</f>
        <v xml:space="preserve"> Original  Imitation Society</v>
      </c>
    </row>
    <row r="1204" spans="1:2" x14ac:dyDescent="0.2">
      <c r="A1204" s="1" t="s">
        <v>2458</v>
      </c>
      <c r="B1204" s="1" t="str">
        <f ca="1">IFERROR(__xludf.DUMFUNCTION("GOOGLETRANSLATE(A1256,""id"",""en"")"),"List of BBM subsidies for a special  website")</f>
        <v>List of BBM subsidies for a special  website</v>
      </c>
    </row>
    <row r="1205" spans="1:2" x14ac:dyDescent="0.2">
      <c r="A1205" s="1" t="s">
        <v>3358</v>
      </c>
      <c r="B1205" s="1" t="str">
        <f ca="1">IFERROR(__xludf.DUMFUNCTION("GOOGLETRANSLATE(A1257,""id"",""en"")"),"owned by Kendara Roda Must List of  Applications")</f>
        <v>owned by Kendara Roda Must List of  Applications</v>
      </c>
    </row>
    <row r="1206" spans="1:2" x14ac:dyDescent="0.2">
      <c r="A1206" s="1" t="s">
        <v>3359</v>
      </c>
      <c r="B1206" s="1" t="str">
        <f ca="1">IFERROR(__xludf.DUMFUNCTION("GOOGLETRANSLATE(A1258,""id"",""en"")"),"firmly belongs to the  application Secretary of  Business Patra Niaga")</f>
        <v>firmly belongs to the  application Secretary of  Business Patra Niaga</v>
      </c>
    </row>
    <row r="1207" spans="1:2" x14ac:dyDescent="0.2">
      <c r="A1207" s="1" t="s">
        <v>3360</v>
      </c>
      <c r="B1207" s="1" t="str">
        <f ca="1">IFERROR(__xludf.DUMFUNCTION("GOOGLETRANSLATE(A1259,""id"",""en"")"),"List of  Sites Buy Pertalite Solar")</f>
        <v>List of  Sites Buy Pertalite Solar</v>
      </c>
    </row>
    <row r="1208" spans="1:2" x14ac:dyDescent="0.2">
      <c r="A1208" s="1" t="s">
        <v>3361</v>
      </c>
      <c r="B1208" s="1" t="str">
        <f ca="1">IFERROR(__xludf.DUMFUNCTION("GOOGLETRANSLATE(A1260,""id"",""en"")")," list wheels")</f>
        <v xml:space="preserve"> list wheels</v>
      </c>
    </row>
    <row r="1209" spans="1:2" x14ac:dyDescent="0.2">
      <c r="A1209" s="1" t="s">
        <v>962</v>
      </c>
      <c r="B1209" s="1" t="str">
        <f ca="1">IFERROR(__xludf.DUMFUNCTION("GOOGLETRANSLATE(A1261,""id"",""en"")"),"The point is not clear  also the list requires an email implementation of the wheels of the rich model of the rich bemo also the wheel of the Bemo Driver Email Cm Bemo")</f>
        <v>The point is not clear  also the list requires an email implementation of the wheels of the rich model of the rich bemo also the wheel of the Bemo Driver Email Cm Bemo</v>
      </c>
    </row>
    <row r="1210" spans="1:2" x14ac:dyDescent="0.2">
      <c r="A1210" s="1" t="s">
        <v>3362</v>
      </c>
      <c r="B1210" s="1" t="str">
        <f ca="1">IFERROR(__xludf.DUMFUNCTION("GOOGLETRANSLATE(A1262,""id"",""en"")"),"Test the Point of Insight Insight Insight Oil Info   Flashpoint Oil for We Oil Price Oil Fearless")</f>
        <v>Test the Point of Insight Insight Insight Oil Info   Flashpoint Oil for We Oil Price Oil Fearless</v>
      </c>
    </row>
    <row r="1211" spans="1:2" x14ac:dyDescent="0.2">
      <c r="A1211" s="1" t="s">
        <v>3363</v>
      </c>
      <c r="B1211" s="1" t="str">
        <f ca="1">IFERROR(__xludf.DUMFUNCTION("GOOGLETRANSLATE(A1263,""id"",""en"")"),"wow people buy gas melon pertalite solar using money, aka cool money, please, replace it, buy a solar gas melon application, the happy  application uses the  application using money")</f>
        <v>wow people buy gas melon pertalite solar using money, aka cool money, please, replace it, buy a solar gas melon application, the happy  application uses the  application using money</v>
      </c>
    </row>
    <row r="1212" spans="1:2" x14ac:dyDescent="0.2">
      <c r="A1212" s="1" t="s">
        <v>3364</v>
      </c>
      <c r="B1212" s="1" t="str">
        <f ca="1">IFERROR(__xludf.DUMFUNCTION("GOOGLETRANSLATE(A1264,""id"",""en"")"),"Buy Pertalite Solar Mandatory Use the  July Application List of Pertalite Areas")</f>
        <v>Buy Pertalite Solar Mandatory Use the  July Application List of Pertalite Areas</v>
      </c>
    </row>
    <row r="1213" spans="1:2" x14ac:dyDescent="0.2">
      <c r="A1213" s="1" t="s">
        <v>3363</v>
      </c>
      <c r="B1213" s="1" t="str">
        <f ca="1">IFERROR(__xludf.DUMFUNCTION("GOOGLETRANSLATE(A1265,""id"",""en"")"),"wow people buy gas melon pertalite solar using money, aka cool money, please, replace it, buy a solar gas melon application, the happy  application uses the  application using money")</f>
        <v>wow people buy gas melon pertalite solar using money, aka cool money, please, replace it, buy a solar gas melon application, the happy  application uses the  application using money</v>
      </c>
    </row>
    <row r="1214" spans="1:2" x14ac:dyDescent="0.2">
      <c r="A1214" s="1" t="s">
        <v>3365</v>
      </c>
      <c r="B1214" s="1" t="str">
        <f ca="1">IFERROR(__xludf.DUMFUNCTION("GOOGLETRANSLATE(A1266,""id"",""en"")"),"List of Special Wheel  Websites")</f>
        <v>List of Special Wheel  Websites</v>
      </c>
    </row>
    <row r="1215" spans="1:2" x14ac:dyDescent="0.2">
      <c r="A1215" s="1" t="s">
        <v>3366</v>
      </c>
      <c r="B1215" s="1" t="str">
        <f ca="1">IFERROR(__xludf.DUMFUNCTION("GOOGLETRANSLATE(A1267,""id"",""en"")"),"At the end tomorrow I have made  but if the motorbike also uses it too")</f>
        <v>At the end tomorrow I have made  but if the motorbike also uses it too</v>
      </c>
    </row>
    <row r="1216" spans="1:2" x14ac:dyDescent="0.2">
      <c r="A1216" s="1" t="s">
        <v>3367</v>
      </c>
      <c r="B1216" s="1" t="str">
        <f ca="1">IFERROR(__xludf.DUMFUNCTION("GOOGLETRANSLATE(A1268,""id"",""en"")"),"hilarious  mod version unlimited money")</f>
        <v>hilarious  mod version unlimited money</v>
      </c>
    </row>
    <row r="1217" spans="1:2" x14ac:dyDescent="0.2">
      <c r="A1217" s="1" t="s">
        <v>3368</v>
      </c>
      <c r="B1217" s="1" t="str">
        <f ca="1">IFERROR(__xludf.DUMFUNCTION("GOOGLETRANSLATE(A1269,""id"",""en"")"),"must install ")</f>
        <v xml:space="preserve">must install </v>
      </c>
    </row>
    <row r="1218" spans="1:2" x14ac:dyDescent="0.2">
      <c r="A1218" s="1" t="s">
        <v>3369</v>
      </c>
      <c r="B1218" s="1" t="str">
        <f ca="1">IFERROR(__xludf.DUMFUNCTION("GOOGLETRANSLATE(A1270,""id"",""en"")"),"Fill in ")</f>
        <v xml:space="preserve">Fill in </v>
      </c>
    </row>
    <row r="1219" spans="1:2" x14ac:dyDescent="0.2">
      <c r="A1219" s="1" t="s">
        <v>3370</v>
      </c>
      <c r="B1219" s="1" t="str">
        <f ca="1">IFERROR(__xludf.DUMFUNCTION("GOOGLETRANSLATE(A1271,""id"",""en"")"),"Those who set to fill gasoline using  haven't felt in the morning leaving for the queue of the Pertalite gas station")</f>
        <v>Those who set to fill gasoline using  haven't felt in the morning leaving for the queue of the Pertalite gas station</v>
      </c>
    </row>
    <row r="1220" spans="1:2" x14ac:dyDescent="0.2">
      <c r="A1220" s="1" t="s">
        <v>3371</v>
      </c>
      <c r="B1220" s="1" t="str">
        <f ca="1">IFERROR(__xludf.DUMFUNCTION("GOOGLETRANSLATE(A1272,""id"",""en"")"),"Test for buying subsidized gasoline must register via the  application is pretty complicated")</f>
        <v>Test for buying subsidized gasoline must register via the  application is pretty complicated</v>
      </c>
    </row>
    <row r="1221" spans="1:2" x14ac:dyDescent="0.2">
      <c r="A1221" s="1" t="s">
        <v>3372</v>
      </c>
      <c r="B1221" s="1" t="str">
        <f ca="1">IFERROR(__xludf.DUMFUNCTION("GOOGLETRANSLATE(A1273,""id"",""en"")"),"Set to buy gasoline using  the area testing stage for the wheel vehicle is already like a beard just burn wkwk")</f>
        <v>Set to buy gasoline using  the area testing stage for the wheel vehicle is already like a beard just burn wkwk</v>
      </c>
    </row>
    <row r="1222" spans="1:2" x14ac:dyDescent="0.2">
      <c r="A1222" s="1" t="s">
        <v>3373</v>
      </c>
      <c r="B1222" s="1" t="str">
        <f ca="1">IFERROR(__xludf.DUMFUNCTION("GOOGLETRANSLATE(A1274,""id"",""en"")"),"Buy the pertalite, I don't use the QR Code application, using the QR Code, Disave Gallery Hape QR Code Web Registration Web ")</f>
        <v xml:space="preserve">Buy the pertalite, I don't use the QR Code application, using the QR Code, Disave Gallery Hape QR Code Web Registration Web </v>
      </c>
    </row>
    <row r="1223" spans="1:2" x14ac:dyDescent="0.2">
      <c r="A1223" s="1" t="s">
        <v>3374</v>
      </c>
      <c r="B1223" s="1" t="str">
        <f ca="1">IFERROR(__xludf.DUMFUNCTION("GOOGLETRANSLATE(A1275,""id"",""en"")"),"Solar uses ")</f>
        <v xml:space="preserve">Solar uses </v>
      </c>
    </row>
    <row r="1224" spans="1:2" x14ac:dyDescent="0.2">
      <c r="A1224" s="1" t="s">
        <v>3375</v>
      </c>
      <c r="B1224" s="1" t="str">
        <f ca="1">IFERROR(__xludf.DUMFUNCTION("GOOGLETRANSLATE(A1276,""id"",""en"")")," Flood Application Review Star Ahead of the Regulation of Buying BBM Pertalite Solar Subsidy Application  July")</f>
        <v xml:space="preserve"> Flood Application Review Star Ahead of the Regulation of Buying BBM Pertalite Solar Subsidy Application  July</v>
      </c>
    </row>
    <row r="1225" spans="1:2" x14ac:dyDescent="0.2">
      <c r="A1225" s="1" t="s">
        <v>3376</v>
      </c>
      <c r="B1225" s="1" t="str">
        <f ca="1">IFERROR(__xludf.DUMFUNCTION("GOOGLETRANSLATE(A1277,""id"",""en"")"),"mandatory via  Pertamax, the majority of consumers are in the middle of understanding the technology, already using a smooth wallet, for example, the transition of technology is Pertalite amp solar logic which is")</f>
        <v>mandatory via  Pertamax, the majority of consumers are in the middle of understanding the technology, already using a smooth wallet, for example, the transition of technology is Pertalite amp solar logic which is</v>
      </c>
    </row>
    <row r="1226" spans="1:2" x14ac:dyDescent="0.2">
      <c r="A1226" s="1" t="s">
        <v>3377</v>
      </c>
      <c r="B1226" s="1" t="str">
        <f ca="1">IFERROR(__xludf.DUMFUNCTION("GOOGLETRANSLATE(A1278,""id"",""en"")"),"ugly fear love fear people love ")</f>
        <v xml:space="preserve">ugly fear love fear people love </v>
      </c>
    </row>
    <row r="1227" spans="1:2" x14ac:dyDescent="0.2">
      <c r="A1227" s="1" t="s">
        <v>3378</v>
      </c>
      <c r="B1227" s="1" t="str">
        <f ca="1">IFERROR(__xludf.DUMFUNCTION("GOOGLETRANSLATE(A1279,""id"",""en"")"),"Install  Installing Applications that Scor are confused so confused beener Installing the Province, I hope that the evaluation with aamminn")</f>
        <v>Install  Installing Applications that Scor are confused so confused beener Installing the Province, I hope that the evaluation with aamminn</v>
      </c>
    </row>
    <row r="1228" spans="1:2" x14ac:dyDescent="0.2">
      <c r="A1228" s="1" t="s">
        <v>74</v>
      </c>
      <c r="B1228" s="1" t="str">
        <f ca="1">IFERROR(__xludf.DUMFUNCTION("GOOGLETRANSLATE(A1280,""id"",""en"")"),"Experts are wrong now, just sophisticated cellphones disturb the signal of the aircraft influence the influence of the problem dispenser")</f>
        <v>Experts are wrong now, just sophisticated cellphones disturb the signal of the aircraft influence the influence of the problem dispenser</v>
      </c>
    </row>
    <row r="1229" spans="1:2" x14ac:dyDescent="0.2">
      <c r="A1229" s="1" t="s">
        <v>75</v>
      </c>
      <c r="B1229" s="1" t="str">
        <f ca="1">IFERROR(__xludf.DUMFUNCTION("GOOGLETRANSLATE(A1281,""id"",""en"")"),"The focus list phase matches the data list of the Source Data Data Document")</f>
        <v>The focus list phase matches the data list of the Source Data Data Document</v>
      </c>
    </row>
    <row r="1230" spans="1:2" x14ac:dyDescent="0.2">
      <c r="A1230" s="1" t="s">
        <v>3379</v>
      </c>
      <c r="B1230" s="1" t="str">
        <f ca="1">IFERROR(__xludf.DUMFUNCTION("GOOGLETRANSLATE(A1282,""id"",""en"")"),"Roda Kendara Must Register  Tomorrow")</f>
        <v>Roda Kendara Must Register  Tomorrow</v>
      </c>
    </row>
    <row r="1231" spans="1:2" x14ac:dyDescent="0.2">
      <c r="A1231" s="1" t="s">
        <v>3380</v>
      </c>
      <c r="B1231" s="1" t="str">
        <f ca="1">IFERROR(__xludf.DUMFUNCTION("GOOGLETRANSLATE(A1283,""id"",""en"")"),"already downloaded apps  ga nich")</f>
        <v>already downloaded apps  ga nich</v>
      </c>
    </row>
    <row r="1232" spans="1:2" x14ac:dyDescent="0.2">
      <c r="A1232" s="1" t="s">
        <v>3381</v>
      </c>
      <c r="B1232" s="1" t="str">
        <f ca="1">IFERROR(__xludf.DUMFUNCTION("GOOGLETRANSLATE(A1284,""id"",""en"")"),"dare to be firmly obliged to belong to the  application secretary of  Patra")</f>
        <v>dare to be firmly obliged to belong to the  application secretary of  Patra</v>
      </c>
    </row>
    <row r="1233" spans="1:2" x14ac:dyDescent="0.2">
      <c r="A1233" s="1" t="s">
        <v>3382</v>
      </c>
      <c r="B1233" s="1" t="str">
        <f ca="1">IFERROR(__xludf.DUMFUNCTION("GOOGLETRANSLATE(A1285,""id"",""en"")"),"not talking about  apps miss marvel ukraine")</f>
        <v>not talking about  apps miss marvel ukraine</v>
      </c>
    </row>
    <row r="1234" spans="1:2" x14ac:dyDescent="0.2">
      <c r="A1234" s="1" t="s">
        <v>76</v>
      </c>
      <c r="B1234" s="1" t="str">
        <f ca="1">IFERROR(__xludf.DUMFUNCTION("GOOGLETRANSLATE(A1286,""id"",""en"")"),"wheels")</f>
        <v>wheels</v>
      </c>
    </row>
    <row r="1235" spans="1:2" x14ac:dyDescent="0.2">
      <c r="A1235" s="1" t="s">
        <v>3383</v>
      </c>
      <c r="B1235" s="1" t="str">
        <f ca="1">IFERROR(__xludf.DUMFUNCTION("GOOGLETRANSLATE(A1287,""id"",""en"")"),"Netizens are crowded with love stars  application")</f>
        <v>Netizens are crowded with love stars  application</v>
      </c>
    </row>
    <row r="1236" spans="1:2" x14ac:dyDescent="0.2">
      <c r="A1236" s="1" t="s">
        <v>3384</v>
      </c>
      <c r="B1236" s="1" t="str">
        <f ca="1">IFERROR(__xludf.DUMFUNCTION("GOOGLETRANSLATE(A1288,""id"",""en"")"),"just integration using online ID cards Practically Effectively Effective times  Plan to Buy BBM Subsidies Pertalite Solar LPG Kg CSTICY JULY APPLICATION  Effective Value")</f>
        <v>just integration using online ID cards Practically Effectively Effective times  Plan to Buy BBM Subsidies Pertalite Solar LPG Kg CSTICY JULY APPLICATION  Effective Value</v>
      </c>
    </row>
    <row r="1237" spans="1:2" x14ac:dyDescent="0.2">
      <c r="A1237" s="1" t="s">
        <v>3385</v>
      </c>
      <c r="B1237" s="1" t="str">
        <f ca="1">IFERROR(__xludf.DUMFUNCTION("GOOGLETRANSLATE(A1289,""id"",""en"")"),"motorbike buy pertalite using the  bandung application")</f>
        <v>motorbike buy pertalite using the  bandung application</v>
      </c>
    </row>
    <row r="1238" spans="1:2" x14ac:dyDescent="0.2">
      <c r="A1238" s="1" t="s">
        <v>3327</v>
      </c>
      <c r="B1238" s="1" t="str">
        <f ca="1">IFERROR(__xludf.DUMFUNCTION("GOOGLETRANSLATE(A1290,""id"",""en"")"),"due to the rating of the  application")</f>
        <v>due to the rating of the  application</v>
      </c>
    </row>
    <row r="1239" spans="1:2" x14ac:dyDescent="0.2">
      <c r="A1239" s="1" t="s">
        <v>3386</v>
      </c>
      <c r="B1239" s="1" t="str">
        <f ca="1">IFERROR(__xludf.DUMFUNCTION("GOOGLETRANSLATE(A1291,""id"",""en"")"),"Astagfirullah Donlot  Ken I sell this motorbike")</f>
        <v>Astagfirullah Donlot  Ken I sell this motorbike</v>
      </c>
    </row>
    <row r="1240" spans="1:2" x14ac:dyDescent="0.2">
      <c r="A1240" s="1" t="s">
        <v>3387</v>
      </c>
      <c r="B1240" s="1" t="str">
        <f ca="1">IFERROR(__xludf.DUMFUNCTION("GOOGLETRANSLATE(A1292,""id"",""en"")"),"I'm not worried about buying a list of first -solar pertalite , it is easy for  to have a booth for gas stations offline consultation to panic")</f>
        <v>I'm not worried about buying a list of first -solar pertalite , it is easy for  to have a booth for gas stations offline consultation to panic</v>
      </c>
    </row>
    <row r="1241" spans="1:2" x14ac:dyDescent="0.2">
      <c r="A1241" s="1" t="s">
        <v>3388</v>
      </c>
      <c r="B1241" s="1" t="str">
        <f ca="1">IFERROR(__xludf.DUMFUNCTION("GOOGLETRANSLATE(A1293,""id"",""en"")"),"Thank you for the special juni, the special July where to buy pertalite, you have to use the hp  gas station application")</f>
        <v>Thank you for the special juni, the special July where to buy pertalite, you have to use the hp  gas station application</v>
      </c>
    </row>
    <row r="1242" spans="1:2" x14ac:dyDescent="0.2">
      <c r="A1242" s="1" t="s">
        <v>2458</v>
      </c>
      <c r="B1242" s="1" t="str">
        <f ca="1">IFERROR(__xludf.DUMFUNCTION("GOOGLETRANSLATE(A1294,""id"",""en"")"),"List of BBM subsidies for a special  website")</f>
        <v>List of BBM subsidies for a special  website</v>
      </c>
    </row>
    <row r="1243" spans="1:2" x14ac:dyDescent="0.2">
      <c r="A1243" s="1" t="s">
        <v>3389</v>
      </c>
      <c r="B1243" s="1" t="str">
        <f ca="1">IFERROR(__xludf.DUMFUNCTION("GOOGLETRANSLATE(A1295,""id"",""en"")"),"Crowded Talk for the  Application Community Application Difficult Star Rating")</f>
        <v>Crowded Talk for the  Application Community Application Difficult Star Rating</v>
      </c>
    </row>
    <row r="1244" spans="1:2" x14ac:dyDescent="0.2">
      <c r="A1244" s="1" t="s">
        <v>3390</v>
      </c>
      <c r="B1244" s="1" t="str">
        <f ca="1">IFERROR(__xludf.DUMFUNCTION("GOOGLETRANSLATE(A1296,""id"",""en"")"),"already not chopped, not invited to buy fuel subsidies using the payment application using a specific platform of  linkaja")</f>
        <v>already not chopped, not invited to buy fuel subsidies using the payment application using a specific platform of  linkaja</v>
      </c>
    </row>
    <row r="1245" spans="1:2" x14ac:dyDescent="0.2">
      <c r="A1245" s="1" t="s">
        <v>3391</v>
      </c>
      <c r="B1245" s="1" t="str">
        <f ca="1">IFERROR(__xludf.DUMFUNCTION("GOOGLETRANSLATE(A1297,""id"",""en"")"),"Buy Cooking Oil Using KTP Buy BBM Using the  People's Application Difficult Difficult Which Simple Name ")</f>
        <v xml:space="preserve">Buy Cooking Oil Using KTP Buy BBM Using the  People's Application Difficult Difficult Which Simple Name </v>
      </c>
    </row>
    <row r="1246" spans="1:2" x14ac:dyDescent="0.2">
      <c r="A1246" s="1" t="s">
        <v>3392</v>
      </c>
      <c r="B1246" s="1" t="str">
        <f ca="1">IFERROR(__xludf.DUMFUNCTION("GOOGLETRANSLATE(A1298,""id"",""en"")"),"for your info on Sasar July Subsidized  Open the list of  websites, you know")</f>
        <v>for your info on Sasar July Subsidized  Open the list of  websites, you know</v>
      </c>
    </row>
    <row r="1247" spans="1:2" x14ac:dyDescent="0.2">
      <c r="A1247" s="1" t="s">
        <v>77</v>
      </c>
      <c r="B1247" s="1" t="str">
        <f ca="1">IFERROR(__xludf.DUMFUNCTION("GOOGLETRANSLATE(A1299,""id"",""en"")"),"Lampung Province PLAY BUY BBM USING QR CODE")</f>
        <v>Lampung Province PLAY BUY BBM USING QR CODE</v>
      </c>
    </row>
    <row r="1248" spans="1:2" x14ac:dyDescent="0.2">
      <c r="A1248" s="1" t="s">
        <v>77</v>
      </c>
      <c r="B1248" s="1" t="str">
        <f ca="1">IFERROR(__xludf.DUMFUNCTION("GOOGLETRANSLATE(A1300,""id"",""en"")"),"Lampung Province PLAY BUY BBM USING QR CODE")</f>
        <v>Lampung Province PLAY BUY BBM USING QR CODE</v>
      </c>
    </row>
    <row r="1249" spans="1:2" x14ac:dyDescent="0.2">
      <c r="A1249" s="1" t="s">
        <v>3393</v>
      </c>
      <c r="B1249" s="1" t="str">
        <f ca="1">IFERROR(__xludf.DUMFUNCTION("GOOGLETRANSLATE(A1301,""id"",""en"")"),"I really support the Sasar July subsidy  open the list of  steps")</f>
        <v>I really support the Sasar July subsidy  open the list of  steps</v>
      </c>
    </row>
    <row r="1250" spans="1:2" x14ac:dyDescent="0.2">
      <c r="A1250" s="1" t="s">
        <v>3394</v>
      </c>
      <c r="B1250" s="1" t="str">
        <f ca="1">IFERROR(__xludf.DUMFUNCTION("GOOGLETRANSLATE(A1302,""id"",""en"")"),"really easy list of  to buy fuel subsidies for profit motorcycles")</f>
        <v>really easy list of  to buy fuel subsidies for profit motorcycles</v>
      </c>
    </row>
    <row r="1251" spans="1:2" x14ac:dyDescent="0.2">
      <c r="A1251" s="1" t="s">
        <v>3395</v>
      </c>
      <c r="B1251" s="1" t="str">
        <f ca="1">IFERROR(__xludf.DUMFUNCTION("GOOGLETRANSLATE(A1303,""id"",""en"")"),"Buy  Subsidized BBM Open List via the  July website")</f>
        <v>Buy  Subsidized BBM Open List via the  July website</v>
      </c>
    </row>
    <row r="1252" spans="1:2" x14ac:dyDescent="0.2">
      <c r="A1252" s="1" t="s">
        <v>2458</v>
      </c>
      <c r="B1252" s="1" t="str">
        <f ca="1">IFERROR(__xludf.DUMFUNCTION("GOOGLETRANSLATE(A1304,""id"",""en"")"),"List of BBM subsidies for a special  website")</f>
        <v>List of BBM subsidies for a special  website</v>
      </c>
    </row>
    <row r="1253" spans="1:2" x14ac:dyDescent="0.2">
      <c r="A1253" s="1" t="s">
        <v>2861</v>
      </c>
      <c r="B1253" s="1" t="str">
        <f ca="1">IFERROR(__xludf.DUMFUNCTION("GOOGLETRANSLATE(A1305,""id"",""en"")"),"ayoo list of Sasar July subsidies  Open the list of  websites")</f>
        <v>ayoo list of Sasar July subsidies  Open the list of  websites</v>
      </c>
    </row>
    <row r="1254" spans="1:2" x14ac:dyDescent="0.2">
      <c r="A1254" s="1" t="s">
        <v>3396</v>
      </c>
      <c r="B1254" s="1" t="str">
        <f ca="1">IFERROR(__xludf.DUMFUNCTION("GOOGLETRANSLATE(A1306,""id"",""en"")")," application is crowded with flooding google play store stars")</f>
        <v xml:space="preserve"> application is crowded with flooding google play store stars</v>
      </c>
    </row>
    <row r="1255" spans="1:2" x14ac:dyDescent="0.2">
      <c r="A1255" s="1" t="s">
        <v>3397</v>
      </c>
      <c r="B1255" s="1" t="str">
        <f ca="1">IFERROR(__xludf.DUMFUNCTION("GOOGLETRANSLATE(A1307,""id"",""en"")"),"Ngegosip  wkwkwkwk call Dame oruu Willie only Matt")</f>
        <v>Ngegosip  wkwkwkwk call Dame oruu Willie only Matt</v>
      </c>
    </row>
    <row r="1256" spans="1:2" x14ac:dyDescent="0.2">
      <c r="A1256" s="1" t="s">
        <v>3398</v>
      </c>
      <c r="B1256" s="1" t="str">
        <f ca="1">IFERROR(__xludf.DUMFUNCTION("GOOGLETRANSLATE(A1308,""id"",""en"")"),"Officially Must Use the  Play Store Store Application")</f>
        <v>Officially Must Use the  Play Store Store Application</v>
      </c>
    </row>
    <row r="1257" spans="1:2" x14ac:dyDescent="0.2">
      <c r="A1257" s="1" t="s">
        <v>3301</v>
      </c>
      <c r="B1257" s="1" t="str">
        <f ca="1">IFERROR(__xludf.DUMFUNCTION("GOOGLETRANSLATE(A1309,""id"",""en"")"),"buy fuel subsidies  special vehicles")</f>
        <v>buy fuel subsidies  special vehicles</v>
      </c>
    </row>
    <row r="1258" spans="1:2" x14ac:dyDescent="0.2">
      <c r="A1258" s="1" t="s">
        <v>78</v>
      </c>
      <c r="B1258" s="1" t="str">
        <f ca="1">IFERROR(__xludf.DUMFUNCTION("GOOGLETRANSLATE(A1310,""id"",""en"")"),"The wheels are not mandatory")</f>
        <v>The wheels are not mandatory</v>
      </c>
    </row>
    <row r="1259" spans="1:2" x14ac:dyDescent="0.2">
      <c r="A1259" s="1" t="s">
        <v>2854</v>
      </c>
      <c r="B1259" s="1" t="str">
        <f ca="1">IFERROR(__xludf.DUMFUNCTION("GOOGLETRANSLATE(A1311,""id"",""en"")"),"Sasar Salasi July  Open the list of  websites, it is really mandatory")</f>
        <v>Sasar Salasi July  Open the list of  websites, it is really mandatory</v>
      </c>
    </row>
    <row r="1260" spans="1:2" x14ac:dyDescent="0.2">
      <c r="A1260" s="1" t="s">
        <v>3040</v>
      </c>
      <c r="B1260" s="1" t="str">
        <f ca="1">IFERROR(__xludf.DUMFUNCTION("GOOGLETRANSLATE(A1312,""id"",""en"")"),"Sasar Salasi July  Open List of 's Website Steps")</f>
        <v>Sasar Salasi July  Open List of 's Website Steps</v>
      </c>
    </row>
    <row r="1261" spans="1:2" x14ac:dyDescent="0.2">
      <c r="A1261" s="1" t="s">
        <v>2852</v>
      </c>
      <c r="B1261" s="1" t="str">
        <f ca="1">IFERROR(__xludf.DUMFUNCTION("GOOGLETRANSLATE(A1313,""id"",""en"")"),"Sasar Salasi July  Open a list of Practical Effective  websites")</f>
        <v>Sasar Salasi July  Open a list of Practical Effective  websites</v>
      </c>
    </row>
    <row r="1262" spans="1:2" x14ac:dyDescent="0.2">
      <c r="A1262" s="1" t="s">
        <v>3042</v>
      </c>
      <c r="B1262" s="1" t="str">
        <f ca="1">IFERROR(__xludf.DUMFUNCTION("GOOGLETRANSLATE(A1314,""id"",""en"")"),"FYI SUBSIDI SASAR SUBSIDI  OPEN THE  WEBSITE LIST OF YGY LIST")</f>
        <v>FYI SUBSIDI SASAR SUBSIDI  OPEN THE  WEBSITE LIST OF YGY LIST</v>
      </c>
    </row>
    <row r="1263" spans="1:2" x14ac:dyDescent="0.2">
      <c r="A1263" s="1" t="s">
        <v>3399</v>
      </c>
      <c r="B1263" s="1" t="str">
        <f ca="1">IFERROR(__xludf.DUMFUNCTION("GOOGLETRANSLATE(A1315,""id"",""en"")"),"'s Login  Login SPBU toilet")</f>
        <v>'s Login  Login SPBU toilet</v>
      </c>
    </row>
    <row r="1264" spans="1:2" x14ac:dyDescent="0.2">
      <c r="A1264" s="1" t="s">
        <v>79</v>
      </c>
      <c r="B1264" s="1" t="str">
        <f ca="1">IFERROR(__xludf.DUMFUNCTION("GOOGLETRANSLATE(A1316,""id"",""en"")"),"waah")</f>
        <v>waah</v>
      </c>
    </row>
    <row r="1265" spans="1:2" x14ac:dyDescent="0.2">
      <c r="A1265" s="1" t="s">
        <v>3400</v>
      </c>
      <c r="B1265" s="1" t="str">
        <f ca="1">IFERROR(__xludf.DUMFUNCTION("GOOGLETRANSLATE(A1317,""id"",""en"")")," Must Buy LPG Kg Using ")</f>
        <v xml:space="preserve"> Must Buy LPG Kg Using </v>
      </c>
    </row>
    <row r="1266" spans="1:2" x14ac:dyDescent="0.2">
      <c r="A1266" s="1" t="s">
        <v>3401</v>
      </c>
      <c r="B1266" s="1" t="str">
        <f ca="1">IFERROR(__xludf.DUMFUNCTION("GOOGLETRANSLATE(A1318,""id"",""en"")"),"omnisbus law appears well set overlapping care cares of protected protesters buy migor  buying petralite solar appears a name so cool to hear")</f>
        <v>omnisbus law appears well set overlapping care cares of protected protesters buy migor  buying petralite solar appears a name so cool to hear</v>
      </c>
    </row>
    <row r="1267" spans="1:2" x14ac:dyDescent="0.2">
      <c r="A1267" s="1" t="s">
        <v>3402</v>
      </c>
      <c r="B1267" s="1" t="str">
        <f ca="1">IFERROR(__xludf.DUMFUNCTION("GOOGLETRANSLATE(A1319,""id"",""en"")"),"The Plan for the Application of the  Organda Ciamis Application Threatens Mass Strike")</f>
        <v>The Plan for the Application of the  Organda Ciamis Application Threatens Mass Strike</v>
      </c>
    </row>
    <row r="1268" spans="1:2" x14ac:dyDescent="0.2">
      <c r="A1268" s="1" t="s">
        <v>3403</v>
      </c>
      <c r="B1268" s="1" t="str">
        <f ca="1">IFERROR(__xludf.DUMFUNCTION("GOOGLETRANSLATE(A1320,""id"",""en"")"),"Guys Subsidies Sasar July  Open List of  Website Supports Efforts")</f>
        <v>Guys Subsidies Sasar July  Open List of  Website Supports Efforts</v>
      </c>
    </row>
    <row r="1269" spans="1:2" x14ac:dyDescent="0.2">
      <c r="A1269" s="1" t="s">
        <v>3404</v>
      </c>
      <c r="B1269" s="1" t="str">
        <f ca="1">IFERROR(__xludf.DUMFUNCTION("GOOGLETRANSLATE(A1321,""id"",""en"")"),"Let's just hurry up and download the  application")</f>
        <v>Let's just hurry up and download the  application</v>
      </c>
    </row>
    <row r="1270" spans="1:2" x14ac:dyDescent="0.2">
      <c r="A1270" s="1" t="s">
        <v>963</v>
      </c>
      <c r="B1270" s="1" t="str">
        <f ca="1">IFERROR(__xludf.DUMFUNCTION("GOOGLETRANSLATE(A1322,""id"",""en"")"),"PT  Patra Niaga detailed a list of fuel permits for the type of solar subsidized in July Tempobusiness")</f>
        <v>PT  Patra Niaga detailed a list of fuel permits for the type of solar subsidized in July Tempobusiness</v>
      </c>
    </row>
    <row r="1271" spans="1:2" x14ac:dyDescent="0.2">
      <c r="A1271" s="1" t="s">
        <v>3405</v>
      </c>
      <c r="B1271" s="1" t="str">
        <f ca="1">IFERROR(__xludf.DUMFUNCTION("GOOGLETRANSLATE(A1323,""id"",""en"")"),"calm down  access")</f>
        <v>calm down  access</v>
      </c>
    </row>
    <row r="1272" spans="1:2" x14ac:dyDescent="0.2">
      <c r="A1272" s="1" t="s">
        <v>3406</v>
      </c>
      <c r="B1272" s="1" t="str">
        <f ca="1">IFERROR(__xludf.DUMFUNCTION("GOOGLETRANSLATE(A1324,""id"",""en"")"),"Ko Momon forgot if you buy Pertalite on July Install  Tea Hayum, sis, the discount is not teaching")</f>
        <v>Ko Momon forgot if you buy Pertalite on July Install  Tea Hayum, sis, the discount is not teaching</v>
      </c>
    </row>
    <row r="1273" spans="1:2" x14ac:dyDescent="0.2">
      <c r="A1273" s="1" t="s">
        <v>3407</v>
      </c>
      <c r="B1273" s="1" t="str">
        <f ca="1">IFERROR(__xludf.DUMFUNCTION("GOOGLETRANSLATE(A1325,""id"",""en"")"),"Motorcycle Kendara Must Buy Pertalite Using ")</f>
        <v xml:space="preserve">Motorcycle Kendara Must Buy Pertalite Using </v>
      </c>
    </row>
    <row r="1274" spans="1:2" x14ac:dyDescent="0.2">
      <c r="A1274" s="1" t="s">
        <v>3408</v>
      </c>
      <c r="B1274" s="1" t="str">
        <f ca="1">IFERROR(__xludf.DUMFUNCTION("GOOGLETRANSLATE(A1326,""id"",""en"")"),"News tea must use  really")</f>
        <v>News tea must use  really</v>
      </c>
    </row>
    <row r="1275" spans="1:2" x14ac:dyDescent="0.2">
      <c r="A1275" s="1" t="s">
        <v>3409</v>
      </c>
      <c r="B1275" s="1" t="str">
        <f ca="1">IFERROR(__xludf.DUMFUNCTION("GOOGLETRANSLATE(A1327,""id"",""en"")"),"Dafart  is loud the app's release criteria for the car")</f>
        <v>Dafart  is loud the app's release criteria for the car</v>
      </c>
    </row>
    <row r="1276" spans="1:2" x14ac:dyDescent="0.2">
      <c r="A1276" s="1" t="s">
        <v>3410</v>
      </c>
      <c r="B1276" s="1" t="str">
        <f ca="1">IFERROR(__xludf.DUMFUNCTION("GOOGLETRANSLATE(A1328,""id"",""en"")"),"Ko Momon forgot if you buy Pertalite on July Install  Tea Hayum")</f>
        <v>Ko Momon forgot if you buy Pertalite on July Install  Tea Hayum</v>
      </c>
    </row>
    <row r="1277" spans="1:2" x14ac:dyDescent="0.2">
      <c r="A1277" s="1" t="s">
        <v>3411</v>
      </c>
      <c r="B1277" s="1" t="str">
        <f ca="1">IFERROR(__xludf.DUMFUNCTION("GOOGLETRANSLATE(A1329,""id"",""en"")"),"Ko Momon forgot if you buy Pertalite on July Install ")</f>
        <v xml:space="preserve">Ko Momon forgot if you buy Pertalite on July Install </v>
      </c>
    </row>
    <row r="1278" spans="1:2" x14ac:dyDescent="0.2">
      <c r="A1278" s="1" t="s">
        <v>3412</v>
      </c>
      <c r="B1278" s="1" t="str">
        <f ca="1">IFERROR(__xludf.DUMFUNCTION("GOOGLETRANSLATE(A1330,""id"",""en"")"),"Ono Buy Pertalite BESOP is obliged to make  pegimana")</f>
        <v>Ono Buy Pertalite BESOP is obliged to make  pegimana</v>
      </c>
    </row>
    <row r="1279" spans="1:2" x14ac:dyDescent="0.2">
      <c r="A1279" s="1" t="s">
        <v>3413</v>
      </c>
      <c r="B1279" s="1" t="str">
        <f ca="1">IFERROR(__xludf.DUMFUNCTION("GOOGLETRANSLATE(A1331,""id"",""en"")"),"Assalamualaikum ")</f>
        <v xml:space="preserve">Assalamualaikum </v>
      </c>
    </row>
    <row r="1280" spans="1:2" x14ac:dyDescent="0.2">
      <c r="A1280" s="1" t="s">
        <v>3414</v>
      </c>
      <c r="B1280" s="1" t="str">
        <f ca="1">IFERROR(__xludf.DUMFUNCTION("GOOGLETRANSLATE(A1332,""id"",""en"")"),"tell me, July, , the limit of buying a solar pertalite opens the list of the  application")</f>
        <v>tell me, July, , the limit of buying a solar pertalite opens the list of the  application</v>
      </c>
    </row>
    <row r="1281" spans="1:2" x14ac:dyDescent="0.2">
      <c r="A1281" s="1" t="s">
        <v>3415</v>
      </c>
      <c r="B1281" s="1" t="str">
        <f ca="1">IFERROR(__xludf.DUMFUNCTION("GOOGLETRANSLATE(A1333,""id"",""en"")"),"Buy gasoline using , how is the notification")</f>
        <v>Buy gasoline using , how is the notification</v>
      </c>
    </row>
    <row r="1282" spans="1:2" x14ac:dyDescent="0.2">
      <c r="A1282" s="1" t="s">
        <v>80</v>
      </c>
      <c r="B1282" s="1" t="str">
        <f ca="1">IFERROR(__xludf.DUMFUNCTION("GOOGLETRANSLATE(A1334,""id"",""en"")"),"FYI YES GUYS JULI BBM BUNDA BBASS SUBSIDI OPEN LIST For those who are not applications for lists of special QR Code lists that are printed to buy BBM")</f>
        <v>FYI YES GUYS JULI BBM BUNDA BBASS SUBSIDI OPEN LIST For those who are not applications for lists of special QR Code lists that are printed to buy BBM</v>
      </c>
    </row>
    <row r="1283" spans="1:2" x14ac:dyDescent="0.2">
      <c r="A1283" s="1" t="s">
        <v>3411</v>
      </c>
      <c r="B1283" s="1" t="str">
        <f ca="1">IFERROR(__xludf.DUMFUNCTION("GOOGLETRANSLATE(A1335,""id"",""en"")"),"Ko Momon forgot if you buy Pertalite on July Install ")</f>
        <v xml:space="preserve">Ko Momon forgot if you buy Pertalite on July Install </v>
      </c>
    </row>
    <row r="1284" spans="1:2" x14ac:dyDescent="0.2">
      <c r="A1284" s="1" t="s">
        <v>3416</v>
      </c>
      <c r="B1284" s="1" t="str">
        <f ca="1">IFERROR(__xludf.DUMFUNCTION("GOOGLETRANSLATE(A1337,""id"",""en"")"),"jamgan forgot to download ")</f>
        <v xml:space="preserve">jamgan forgot to download </v>
      </c>
    </row>
    <row r="1285" spans="1:2" x14ac:dyDescent="0.2">
      <c r="A1285" s="1" t="s">
        <v>3133</v>
      </c>
      <c r="B1285" s="1" t="str">
        <f ca="1">IFERROR(__xludf.DUMFUNCTION("GOOGLETRANSLATE(A1338,""id"",""en"")"),"Buy fuel fuel fuel using  applications Salur BBM Subsidized Sasar")</f>
        <v>Buy fuel fuel fuel using  applications Salur BBM Subsidized Sasar</v>
      </c>
    </row>
    <row r="1286" spans="1:2" x14ac:dyDescent="0.2">
      <c r="A1286" s="1" t="s">
        <v>3417</v>
      </c>
      <c r="B1286" s="1" t="str">
        <f ca="1">IFERROR(__xludf.DUMFUNCTION("GOOGLETRANSLATE(A1339,""id"",""en"")"),"buy fuel subsidies for  special wheel sariagri peasant")</f>
        <v>buy fuel subsidies for  special wheel sariagri peasant</v>
      </c>
    </row>
    <row r="1287" spans="1:2" x14ac:dyDescent="0.2">
      <c r="A1287" s="1" t="s">
        <v>3418</v>
      </c>
      <c r="B1287" s="1" t="str">
        <f ca="1">IFERROR(__xludf.DUMFUNCTION("GOOGLETRANSLATE(A1340,""id"",""en"")"),"how do people pay using  but the gas station is an error")</f>
        <v>how do people pay using  but the gas station is an error</v>
      </c>
    </row>
    <row r="1288" spans="1:2" x14ac:dyDescent="0.2">
      <c r="A1288" s="1" t="s">
        <v>3419</v>
      </c>
      <c r="B1288" s="1" t="str">
        <f ca="1">IFERROR(__xludf.DUMFUNCTION("GOOGLETRANSLATE(A1341,""id"",""en"")"),"Download  Buru")</f>
        <v>Download  Buru</v>
      </c>
    </row>
    <row r="1289" spans="1:2" x14ac:dyDescent="0.2">
      <c r="A1289" s="1" t="s">
        <v>3420</v>
      </c>
      <c r="B1289" s="1" t="str">
        <f ca="1">IFERROR(__xludf.DUMFUNCTION("GOOGLETRANSLATE(A1342,""id"",""en"")"),"using a gas station for prohibiting now can piye tow ")</f>
        <v xml:space="preserve">using a gas station for prohibiting now can piye tow </v>
      </c>
    </row>
    <row r="1290" spans="1:2" x14ac:dyDescent="0.2">
      <c r="A1290" s="1" t="s">
        <v>3421</v>
      </c>
      <c r="B1290" s="1" t="str">
        <f ca="1">IFERROR(__xludf.DUMFUNCTION("GOOGLETRANSLATE(A1343,""id"",""en"")"),"Netizens are clearly list of  for the wheel of  portalyogya")</f>
        <v>Netizens are clearly list of  for the wheel of  portalyogya</v>
      </c>
    </row>
    <row r="1291" spans="1:2" x14ac:dyDescent="0.2">
      <c r="A1291" s="1" t="s">
        <v>3422</v>
      </c>
      <c r="B1291" s="1" t="str">
        <f ca="1">IFERROR(__xludf.DUMFUNCTION("GOOGLETRANSLATE(A1344,""id"",""en"")"),"Panic Set Buy BBM SPBU Roda Phase Trial ")</f>
        <v xml:space="preserve">Panic Set Buy BBM SPBU Roda Phase Trial </v>
      </c>
    </row>
    <row r="1292" spans="1:2" x14ac:dyDescent="0.2">
      <c r="A1292" s="1" t="s">
        <v>3423</v>
      </c>
      <c r="B1292" s="1" t="str">
        <f ca="1">IFERROR(__xludf.DUMFUNCTION("GOOGLETRANSLATE(A1345,""id"",""en"")")," Application Flooding Google Play Store Star Rating")</f>
        <v xml:space="preserve"> Application Flooding Google Play Store Star Rating</v>
      </c>
    </row>
    <row r="1293" spans="1:2" x14ac:dyDescent="0.2">
      <c r="A1293" s="1" t="s">
        <v>3424</v>
      </c>
      <c r="B1293" s="1" t="str">
        <f ca="1">IFERROR(__xludf.DUMFUNCTION("GOOGLETRANSLATE(A1346,""id"",""en"")"),"When the gasoline contents, I ask the brother, it's true that if you buy Pertalite Regist via ,  brother Pombensin said, oh, the car is, if the motorbike is not normal")</f>
        <v>When the gasoline contents, I ask the brother, it's true that if you buy Pertalite Regist via ,  brother Pombensin said, oh, the car is, if the motorbike is not normal</v>
      </c>
    </row>
    <row r="1294" spans="1:2" x14ac:dyDescent="0.2">
      <c r="A1294" s="1" t="s">
        <v>3423</v>
      </c>
      <c r="B1294" s="1" t="str">
        <f ca="1">IFERROR(__xludf.DUMFUNCTION("GOOGLETRANSLATE(A1347,""id"",""en"")")," Application Flooding Google Play Store Star Rating")</f>
        <v xml:space="preserve"> Application Flooding Google Play Store Star Rating</v>
      </c>
    </row>
    <row r="1295" spans="1:2" x14ac:dyDescent="0.2">
      <c r="A1295" s="1" t="s">
        <v>3425</v>
      </c>
      <c r="B1295" s="1" t="str">
        <f ca="1">IFERROR(__xludf.DUMFUNCTION("GOOGLETRANSLATE(A1348,""id"",""en"")"),"The news article is hook with the discourse of commands that are required to buy lpg kg list of  applications then reporters detikcom ask questions about the people who are not cellphones")</f>
        <v>The news article is hook with the discourse of commands that are required to buy lpg kg list of  applications then reporters detikcom ask questions about the people who are not cellphones</v>
      </c>
    </row>
    <row r="1296" spans="1:2" x14ac:dyDescent="0.2">
      <c r="A1296" s="1" t="s">
        <v>3426</v>
      </c>
      <c r="B1296" s="1" t="str">
        <f ca="1">IFERROR(__xludf.DUMFUNCTION("GOOGLETRANSLATE(A1349,""id"",""en"")"),"Buy Pertalite List of  Laku Motor Beritasonora Via")</f>
        <v>Buy Pertalite List of  Laku Motor Beritasonora Via</v>
      </c>
    </row>
    <row r="1297" spans="1:2" x14ac:dyDescent="0.2">
      <c r="A1297" s="1" t="s">
        <v>3427</v>
      </c>
      <c r="B1297" s="1" t="str">
        <f ca="1">IFERROR(__xludf.DUMFUNCTION("GOOGLETRANSLATE(A1350,""id"",""en"")"),"Buy Pertalite Buy LPG Kg List ")</f>
        <v xml:space="preserve">Buy Pertalite Buy LPG Kg List </v>
      </c>
    </row>
    <row r="1298" spans="1:2" x14ac:dyDescent="0.2">
      <c r="A1298" s="1" t="s">
        <v>3428</v>
      </c>
      <c r="B1298" s="1" t="str">
        <f ca="1">IFERROR(__xludf.DUMFUNCTION("GOOGLETRANSLATE(A1351,""id"",""en"")"),"Buy Pertalite Solar must be list of  juli Andre Rosiade accounts")</f>
        <v>Buy Pertalite Solar must be list of  juli Andre Rosiade accounts</v>
      </c>
    </row>
    <row r="1299" spans="1:2" x14ac:dyDescent="0.2">
      <c r="A1299" s="1" t="s">
        <v>2830</v>
      </c>
      <c r="B1299" s="1" t="str">
        <f ca="1">IFERROR(__xludf.DUMFUNCTION("GOOGLETRANSLATE(A1352,""id"",""en"")"),"Good news to buy pertalite using  buy pertalite using rupiah")</f>
        <v>Good news to buy pertalite using  buy pertalite using rupiah</v>
      </c>
    </row>
    <row r="1300" spans="1:2" x14ac:dyDescent="0.2">
      <c r="A1300" s="1" t="s">
        <v>20</v>
      </c>
      <c r="B1300" s="1" t="str">
        <f ca="1">IFERROR(__xludf.DUMFUNCTION("GOOGLETRANSLATE(A1353,""id"",""en"")"),"Reviewing")</f>
        <v>Reviewing</v>
      </c>
    </row>
    <row r="1301" spans="1:2" x14ac:dyDescent="0.2">
      <c r="A1301" s="1" t="s">
        <v>3429</v>
      </c>
      <c r="B1301" s="1" t="str">
        <f ca="1">IFERROR(__xludf.DUMFUNCTION("GOOGLETRANSLATE(A1354,""id"",""en"")")," Anjg")</f>
        <v xml:space="preserve"> Anjg</v>
      </c>
    </row>
    <row r="1302" spans="1:2" x14ac:dyDescent="0.2">
      <c r="A1302" s="1" t="s">
        <v>3430</v>
      </c>
      <c r="B1302" s="1" t="str">
        <f ca="1">IFERROR(__xludf.DUMFUNCTION("GOOGLETRANSLATE(A1355,""id"",""en"")"),"ui  ugly homepage contents info amp promotion")</f>
        <v>ui  ugly homepage contents info amp promotion</v>
      </c>
    </row>
    <row r="1303" spans="1:2" x14ac:dyDescent="0.2">
      <c r="A1303" s="1" t="s">
        <v>3431</v>
      </c>
      <c r="B1303" s="1" t="str">
        <f ca="1">IFERROR(__xludf.DUMFUNCTION("GOOGLETRANSLATE(A1356,""id"",""en"")")," set fuel subsidies yanh sasar")</f>
        <v xml:space="preserve"> set fuel subsidies yanh sasar</v>
      </c>
    </row>
    <row r="1304" spans="1:2" x14ac:dyDescent="0.2">
      <c r="A1304" s="1" t="s">
        <v>3432</v>
      </c>
      <c r="B1304" s="1" t="str">
        <f ca="1">IFERROR(__xludf.DUMFUNCTION("GOOGLETRANSLATE(A1357,""id"",""en"")"),"the spirit of queue using  wkwkwkw")</f>
        <v>the spirit of queue using  wkwkwkw</v>
      </c>
    </row>
    <row r="1305" spans="1:2" x14ac:dyDescent="0.2">
      <c r="A1305" s="1" t="s">
        <v>3433</v>
      </c>
      <c r="B1305" s="1" t="str">
        <f ca="1">IFERROR(__xludf.DUMFUNCTION("GOOGLETRANSLATE(A1358,""id"",""en"")"),"Installing Linkaja ")</f>
        <v xml:space="preserve">Installing Linkaja </v>
      </c>
    </row>
    <row r="1306" spans="1:2" x14ac:dyDescent="0.2">
      <c r="A1306" s="1" t="s">
        <v>3434</v>
      </c>
      <c r="B1306" s="1" t="str">
        <f ca="1">IFERROR(__xludf.DUMFUNCTION("GOOGLETRANSLATE(A1359,""id"",""en"")"),"The list of  grandchildren, grandfather with grandchildren, STNK data is not in accordance with the list of  grandson, grandfather's grandson, grandfather, with gasoline, the balance of the link, buy the game voucher, the grandfather"&amp;" is not much")</f>
        <v>The list of  grandchildren, grandfather with grandchildren, STNK data is not in accordance with the list of  grandson, grandfather's grandson, grandfather, with gasoline, the balance of the link, buy the game voucher, the grandfather is not much</v>
      </c>
    </row>
    <row r="1307" spans="1:2" x14ac:dyDescent="0.2">
      <c r="A1307" s="1" t="s">
        <v>81</v>
      </c>
      <c r="B1307" s="1" t="str">
        <f ca="1">IFERROR(__xludf.DUMFUNCTION("GOOGLETRANSLATE(A1360,""id"",""en"")"),"Trial Buy Pertalite Solar Subsidy Tomorrow Effective Effective arise Gas Station")</f>
        <v>Trial Buy Pertalite Solar Subsidy Tomorrow Effective Effective arise Gas Station</v>
      </c>
    </row>
    <row r="1308" spans="1:2" x14ac:dyDescent="0.2">
      <c r="A1308" s="1" t="s">
        <v>3435</v>
      </c>
      <c r="B1308" s="1" t="str">
        <f ca="1">IFERROR(__xludf.DUMFUNCTION("GOOGLETRANSLATE(A1361,""id"",""en"")"),"Flat  Site Tomorrow Buy Pertalite Solar")</f>
        <v>Flat  Site Tomorrow Buy Pertalite Solar</v>
      </c>
    </row>
    <row r="1309" spans="1:2" x14ac:dyDescent="0.2">
      <c r="A1309" s="1" t="s">
        <v>82</v>
      </c>
      <c r="B1309" s="1" t="str">
        <f ca="1">IFERROR(__xludf.DUMFUNCTION("GOOGLETRANSLATE(A1362,""id"",""en"")"),"Cool bothering")</f>
        <v>Cool bothering</v>
      </c>
    </row>
    <row r="1310" spans="1:2" x14ac:dyDescent="0.2">
      <c r="A1310" s="1" t="s">
        <v>3436</v>
      </c>
      <c r="B1310" s="1" t="str">
        <f ca="1">IFERROR(__xludf.DUMFUNCTION("GOOGLETRANSLATE(A1363,""id"",""en"")"),"Hook Point No Amp Server Down GT Verification Max GT GTETA GASTE UGENT URGENT PICK NEEDS THAT Urge SOLUTIONS  ")</f>
        <v xml:space="preserve">Hook Point No Amp Server Down GT Verification Max GT GTETA GASTE UGENT URGENT PICK NEEDS THAT Urge SOLUTIONS  </v>
      </c>
    </row>
    <row r="1311" spans="1:2" x14ac:dyDescent="0.2">
      <c r="A1311" s="1" t="s">
        <v>3437</v>
      </c>
      <c r="B1311" s="1" t="str">
        <f ca="1">IFERROR(__xludf.DUMFUNCTION("GOOGLETRANSLATE(A1364,""id"",""en"")")," Mandatory Consumers Pay  Applications")</f>
        <v xml:space="preserve"> Mandatory Consumers Pay  Applications</v>
      </c>
    </row>
    <row r="1312" spans="1:2" x14ac:dyDescent="0.2">
      <c r="A1312" s="1" t="s">
        <v>3438</v>
      </c>
      <c r="B1312" s="1" t="str">
        <f ca="1">IFERROR(__xludf.DUMFUNCTION("GOOGLETRANSLATE(A1365,""id"",""en"")"),"worried that the cellphone gas station is safe, pay attention to the Pandu, the list")</f>
        <v>worried that the cellphone gas station is safe, pay attention to the Pandu, the list</v>
      </c>
    </row>
    <row r="1313" spans="1:2" x14ac:dyDescent="0.2">
      <c r="A1313" s="1" t="s">
        <v>3439</v>
      </c>
      <c r="B1313" s="1" t="str">
        <f ca="1">IFERROR(__xludf.DUMFUNCTION("GOOGLETRANSLATE(A1366,""id"",""en"")"),"PGN PGN APPLICATION GADA ")</f>
        <v xml:space="preserve">PGN PGN APPLICATION GADA </v>
      </c>
    </row>
    <row r="1314" spans="1:2" x14ac:dyDescent="0.2">
      <c r="A1314" s="1" t="s">
        <v>3440</v>
      </c>
      <c r="B1314" s="1" t="str">
        <f ca="1">IFERROR(__xludf.DUMFUNCTION("GOOGLETRANSLATE(A1367,""id"",""en"")"),"list of fuel subsidies for  car application")</f>
        <v>list of fuel subsidies for  car application</v>
      </c>
    </row>
    <row r="1315" spans="1:2" x14ac:dyDescent="0.2">
      <c r="A1315" s="1" t="s">
        <v>3441</v>
      </c>
      <c r="B1315" s="1" t="str">
        <f ca="1">IFERROR(__xludf.DUMFUNCTION("GOOGLETRANSLATE(A1368,""id"",""en"")"),"great if the hand gin opens playstore install ")</f>
        <v xml:space="preserve">great if the hand gin opens playstore install </v>
      </c>
    </row>
    <row r="1316" spans="1:2" x14ac:dyDescent="0.2">
      <c r="A1316" s="1" t="s">
        <v>3442</v>
      </c>
      <c r="B1316" s="1" t="str">
        <f ca="1">IFERROR(__xludf.DUMFUNCTION("GOOGLETRANSLATE(A1369,""id"",""en"")"),"after seeing it, I think if it's fixed using , you don't understand, I don't understand, I'm reckless to burn the gas station.")</f>
        <v>after seeing it, I think if it's fixed using , you don't understand, I don't understand, I'm reckless to burn the gas station.</v>
      </c>
    </row>
    <row r="1317" spans="1:2" x14ac:dyDescent="0.2">
      <c r="A1317" s="1" t="s">
        <v>3443</v>
      </c>
      <c r="B1317" s="1" t="str">
        <f ca="1">IFERROR(__xludf.DUMFUNCTION("GOOGLETRANSLATE(A1370,""id"",""en"")"),"  is the list that belongs to the data that is  bleh")</f>
        <v xml:space="preserve">  is the list that belongs to the data that is  bleh</v>
      </c>
    </row>
    <row r="1318" spans="1:2" x14ac:dyDescent="0.2">
      <c r="A1318" s="1" t="s">
        <v>954</v>
      </c>
      <c r="B1318" s="1" t="str">
        <f ca="1">IFERROR(__xludf.DUMFUNCTION("GOOGLETRANSLATE(A1371,""id"",""en"")")," Buy List of Mandatory Fuel Subsidies")</f>
        <v xml:space="preserve"> Buy List of Mandatory Fuel Subsidies</v>
      </c>
    </row>
    <row r="1319" spans="1:2" x14ac:dyDescent="0.2">
      <c r="A1319" s="1" t="s">
        <v>3444</v>
      </c>
      <c r="B1319" s="1" t="str">
        <f ca="1">IFERROR(__xludf.DUMFUNCTION("GOOGLETRANSLATE(A1372,""id"",""en"")"),"Head of Bandung City Disdagin Elly Wasliah spoke up to buy fuel subsidies Pertalite  Application Clearly ")</f>
        <v xml:space="preserve">Head of Bandung City Disdagin Elly Wasliah spoke up to buy fuel subsidies Pertalite  Application Clearly </v>
      </c>
    </row>
    <row r="1320" spans="1:2" x14ac:dyDescent="0.2">
      <c r="A1320" s="1" t="s">
        <v>3445</v>
      </c>
      <c r="B1320" s="1" t="str">
        <f ca="1">IFERROR(__xludf.DUMFUNCTION("GOOGLETRANSLATE(A1373,""id"",""en"")"),"List of  Kendara Roda")</f>
        <v>List of  Kendara Roda</v>
      </c>
    </row>
    <row r="1321" spans="1:2" x14ac:dyDescent="0.2">
      <c r="A1321" s="1" t="s">
        <v>3446</v>
      </c>
      <c r="B1321" s="1" t="str">
        <f ca="1">IFERROR(__xludf.DUMFUNCTION("GOOGLETRANSLATE(A1374,""id"",""en"")"),"Sukamta Application of Pedulilat Protect  Community Economic Judges")</f>
        <v>Sukamta Application of Pedulilat Protect  Community Economic Judges</v>
      </c>
    </row>
    <row r="1322" spans="1:2" x14ac:dyDescent="0.2">
      <c r="A1322" s="1" t="s">
        <v>83</v>
      </c>
      <c r="B1322" s="1" t="str">
        <f ca="1">IFERROR(__xludf.DUMFUNCTION("GOOGLETRANSLATE(A1375,""id"",""en"")"),"the list is not so sis, oh  photo, I don't say that it's not donlot not carrying a cellphone, it's really hard to read sad")</f>
        <v>the list is not so sis, oh  photo, I don't say that it's not donlot not carrying a cellphone, it's really hard to read sad</v>
      </c>
    </row>
    <row r="1323" spans="1:2" x14ac:dyDescent="0.2">
      <c r="A1323" s="1" t="s">
        <v>3447</v>
      </c>
      <c r="B1323" s="1" t="str">
        <f ca="1">IFERROR(__xludf.DUMFUNCTION("GOOGLETRANSLATE(A1376,""id"",""en"")"),"List of   hp websites")</f>
        <v>List of   hp websites</v>
      </c>
    </row>
    <row r="1324" spans="1:2" x14ac:dyDescent="0.2">
      <c r="A1324" s="1" t="s">
        <v>964</v>
      </c>
      <c r="B1324" s="1" t="str">
        <f ca="1">IFERROR(__xludf.DUMFUNCTION("GOOGLETRANSLATE(A1377,""id"",""en"")"),"The facts of the excitement buy pertalite via  the community is worried that the Easy List of the SPBU booth consultation offline is confused")</f>
        <v>The facts of the excitement buy pertalite via  the community is worried that the Easy List of the SPBU booth consultation offline is confused</v>
      </c>
    </row>
    <row r="1325" spans="1:2" x14ac:dyDescent="0.2">
      <c r="A1325" s="1" t="s">
        <v>3448</v>
      </c>
      <c r="B1325" s="1" t="str">
        <f ca="1">IFERROR(__xludf.DUMFUNCTION("GOOGLETRANSLATE(A1378,""id"",""en"")"),"JULY PLU PLU LIST OF  BUY BBM SUBSIDI PERTALITE SOLAR SUBSIDI PORTALYOGYA ")</f>
        <v xml:space="preserve">JULY PLU PLU LIST OF  BUY BBM SUBSIDI PERTALITE SOLAR SUBSIDI PORTALYOGYA </v>
      </c>
    </row>
    <row r="1326" spans="1:2" x14ac:dyDescent="0.2">
      <c r="A1326" s="1" t="s">
        <v>3445</v>
      </c>
      <c r="B1326" s="1" t="str">
        <f ca="1">IFERROR(__xludf.DUMFUNCTION("GOOGLETRANSLATE(A1379,""id"",""en"")"),"List of  Kendara Roda")</f>
        <v>List of  Kendara Roda</v>
      </c>
    </row>
    <row r="1327" spans="1:2" x14ac:dyDescent="0.2">
      <c r="A1327" s="1" t="s">
        <v>3449</v>
      </c>
      <c r="B1327" s="1" t="str">
        <f ca="1">IFERROR(__xludf.DUMFUNCTION("GOOGLETRANSLATE(A1380,""id"",""en"")"),"Buy Gas Kg using a happy shock ")</f>
        <v xml:space="preserve">Buy Gas Kg using a happy shock </v>
      </c>
    </row>
    <row r="1328" spans="1:2" x14ac:dyDescent="0.2">
      <c r="A1328" s="1" t="s">
        <v>3450</v>
      </c>
      <c r="B1328" s="1" t="str">
        <f ca="1">IFERROR(__xludf.DUMFUNCTION("GOOGLETRANSLATE(A1381,""id"",""en"")"),"list of fuel subsidies for the special  website.")</f>
        <v>list of fuel subsidies for the special  website.</v>
      </c>
    </row>
    <row r="1329" spans="1:2" x14ac:dyDescent="0.2">
      <c r="A1329" s="1" t="s">
        <v>3383</v>
      </c>
      <c r="B1329" s="1" t="str">
        <f ca="1">IFERROR(__xludf.DUMFUNCTION("GOOGLETRANSLATE(A1382,""id"",""en"")"),"Netizens are crowded with love stars  application")</f>
        <v>Netizens are crowded with love stars  application</v>
      </c>
    </row>
    <row r="1330" spans="1:2" x14ac:dyDescent="0.2">
      <c r="A1330" s="1" t="s">
        <v>3451</v>
      </c>
      <c r="B1330" s="1" t="str">
        <f ca="1">IFERROR(__xludf.DUMFUNCTION("GOOGLETRANSLATE(A1383,""id"",""en"")"),"Use the  Hp SPBU application says safe alas news  application")</f>
        <v>Use the  Hp SPBU application says safe alas news  application</v>
      </c>
    </row>
    <row r="1331" spans="1:2" x14ac:dyDescent="0.2">
      <c r="A1331" s="1" t="s">
        <v>3452</v>
      </c>
      <c r="B1331" s="1" t="str">
        <f ca="1">IFERROR(__xludf.DUMFUNCTION("GOOGLETRANSLATE(A1384,""id"",""en"")")," List of Special Wheel  Website")</f>
        <v xml:space="preserve"> List of Special Wheel  Website</v>
      </c>
    </row>
    <row r="1332" spans="1:2" x14ac:dyDescent="0.2">
      <c r="A1332" s="1" t="s">
        <v>3453</v>
      </c>
      <c r="B1332" s="1" t="str">
        <f ca="1">IFERROR(__xludf.DUMFUNCTION("GOOGLETRANSLATE(A1385,""id"",""en"")"),"Luhut Panjaitan Mafia ")</f>
        <v xml:space="preserve">Luhut Panjaitan Mafia </v>
      </c>
    </row>
    <row r="1333" spans="1:2" x14ac:dyDescent="0.2">
      <c r="A1333" s="1" t="s">
        <v>3454</v>
      </c>
      <c r="B1333" s="1" t="str">
        <f ca="1">IFERROR(__xludf.DUMFUNCTION("GOOGLETRANSLATE(A1386,""id"",""en"")"),"Loss of BB People Real Business Transportation Impact of Anakucuki later ")</f>
        <v xml:space="preserve">Loss of BB People Real Business Transportation Impact of Anakucuki later </v>
      </c>
    </row>
    <row r="1334" spans="1:2" x14ac:dyDescent="0.2">
      <c r="A1334" s="1" t="s">
        <v>2857</v>
      </c>
      <c r="B1334" s="1" t="str">
        <f ca="1">IFERROR(__xludf.DUMFUNCTION("GOOGLETRANSLATE(A1387,""id"",""en"")"),"Buy Pertalite List of  Motorcycle Cars")</f>
        <v>Buy Pertalite List of  Motorcycle Cars</v>
      </c>
    </row>
    <row r="1335" spans="1:2" x14ac:dyDescent="0.2">
      <c r="A1335" s="1" t="s">
        <v>3455</v>
      </c>
      <c r="B1335" s="1" t="str">
        <f ca="1">IFERROR(__xludf.DUMFUNCTION("GOOGLETRANSLATE(A1388,""id"",""en"")"),"buy lpg gas kg ")</f>
        <v xml:space="preserve">buy lpg gas kg </v>
      </c>
    </row>
    <row r="1336" spans="1:2" x14ac:dyDescent="0.2">
      <c r="A1336" s="1" t="s">
        <v>2830</v>
      </c>
      <c r="B1336" s="1" t="str">
        <f ca="1">IFERROR(__xludf.DUMFUNCTION("GOOGLETRANSLATE(A1389,""id"",""en"")"),"Good news to buy pertalite using  buy pertalite using rupiah")</f>
        <v>Good news to buy pertalite using  buy pertalite using rupiah</v>
      </c>
    </row>
    <row r="1337" spans="1:2" x14ac:dyDescent="0.2">
      <c r="A1337" s="1" t="s">
        <v>3456</v>
      </c>
      <c r="B1337" s="1" t="str">
        <f ca="1">IFERROR(__xludf.DUMFUNCTION("GOOGLETRANSLATE(A1390,""id"",""en"")"),"List of BBM subsidies for the special  website.")</f>
        <v>List of BBM subsidies for the special  website.</v>
      </c>
    </row>
    <row r="1338" spans="1:2" x14ac:dyDescent="0.2">
      <c r="A1338" s="1" t="s">
        <v>3457</v>
      </c>
      <c r="B1338" s="1" t="str">
        <f ca="1">IFERROR(__xludf.DUMFUNCTION("GOOGLETRANSLATE(A1391,""id"",""en"")"),"The contents of the gasoline are not opening ")</f>
        <v xml:space="preserve">The contents of the gasoline are not opening </v>
      </c>
    </row>
    <row r="1339" spans="1:2" x14ac:dyDescent="0.2">
      <c r="A1339" s="1" t="s">
        <v>3458</v>
      </c>
      <c r="B1339" s="1" t="str">
        <f ca="1">IFERROR(__xludf.DUMFUNCTION("GOOGLETRANSLATE(A1392,""id"",""en"")"),"tight buying fuel Pertalite Solar  Buy BBM must use  July")</f>
        <v>tight buying fuel Pertalite Solar  Buy BBM must use  July</v>
      </c>
    </row>
    <row r="1340" spans="1:2" x14ac:dyDescent="0.2">
      <c r="A1340" s="1" t="s">
        <v>3459</v>
      </c>
      <c r="B1340" s="1" t="str">
        <f ca="1">IFERROR(__xludf.DUMFUNCTION("GOOGLETRANSLATE(A1393,""id"",""en"")"),"The afternoon routine is already  Iduladha Putin")</f>
        <v>The afternoon routine is already  Iduladha Putin</v>
      </c>
    </row>
    <row r="1341" spans="1:2" x14ac:dyDescent="0.2">
      <c r="A1341" s="1" t="s">
        <v>3460</v>
      </c>
      <c r="B1341" s="1" t="str">
        <f ca="1">IFERROR(__xludf.DUMFUNCTION("GOOGLETRANSLATE(A1394,""id"",""en"")"),"Keep Set Paying BBM Subsidies Pertalite Solar Application  Front Buy LPG Gas Subsidy Kg Application  Gaselpiji Gas Kg Kg Lampungpost")</f>
        <v>Keep Set Paying BBM Subsidies Pertalite Solar Application  Front Buy LPG Gas Subsidy Kg Application  Gaselpiji Gas Kg Kg Lampungpost</v>
      </c>
    </row>
    <row r="1342" spans="1:2" x14ac:dyDescent="0.2">
      <c r="A1342" s="1" t="s">
        <v>3461</v>
      </c>
      <c r="B1342" s="1" t="str">
        <f ca="1">IFERROR(__xludf.DUMFUNCTION("GOOGLETRANSLATE(A1395,""id"",""en"")"),"The applications of the Sukabumi City  Kang Fahmi")</f>
        <v>The applications of the Sukabumi City  Kang Fahmi</v>
      </c>
    </row>
    <row r="1343" spans="1:2" x14ac:dyDescent="0.2">
      <c r="A1343" s="1" t="s">
        <v>965</v>
      </c>
      <c r="B1343" s="1" t="str">
        <f ca="1">IFERROR(__xludf.DUMFUNCTION("GOOGLETRANSLATE(A1396,""id"",""en"")")," is difficult for the people to buy public subsidized fuel for subsidized fuel owned")</f>
        <v xml:space="preserve"> is difficult for the people to buy public subsidized fuel for subsidized fuel owned</v>
      </c>
    </row>
    <row r="1344" spans="1:2" x14ac:dyDescent="0.2">
      <c r="A1344" s="1" t="s">
        <v>3462</v>
      </c>
      <c r="B1344" s="1" t="str">
        <f ca="1">IFERROR(__xludf.DUMFUNCTION("GOOGLETRANSLATE(A1397,""id"",""en"")"),"the one who uses the  application contains gasoline")</f>
        <v>the one who uses the  application contains gasoline</v>
      </c>
    </row>
    <row r="1345" spans="1:2" x14ac:dyDescent="0.2">
      <c r="A1345" s="1" t="s">
        <v>3463</v>
      </c>
      <c r="B1345" s="1" t="str">
        <f ca="1">IFERROR(__xludf.DUMFUNCTION("GOOGLETRANSLATE(A1398,""id"",""en"")"),"Read the Cute  Application")</f>
        <v>Read the Cute  Application</v>
      </c>
    </row>
    <row r="1346" spans="1:2" x14ac:dyDescent="0.2">
      <c r="A1346" s="1" t="s">
        <v>3046</v>
      </c>
      <c r="B1346" s="1" t="str">
        <f ca="1">IFERROR(__xludf.DUMFUNCTION("GOOGLETRANSLATE(A1399,""id"",""en"")"),"List of  Applications Read Info Gaes July BBM Limits SUBSIDI OPEN ENERGIZINGYOU ENERGIZINGYOURFUTURE")</f>
        <v>List of  Applications Read Info Gaes July BBM Limits SUBSIDI OPEN ENERGIZINGYOU ENERGIZINGYOURFUTURE</v>
      </c>
    </row>
    <row r="1347" spans="1:2" x14ac:dyDescent="0.2">
      <c r="A1347" s="1" t="s">
        <v>84</v>
      </c>
      <c r="B1347" s="1" t="str">
        <f ca="1">IFERROR(__xludf.DUMFUNCTION("GOOGLETRANSLATE(A1400,""id"",""en"")"),"select the list of non -subsidized or non -subsidies")</f>
        <v>select the list of non -subsidized or non -subsidies</v>
      </c>
    </row>
    <row r="1348" spans="1:2" x14ac:dyDescent="0.2">
      <c r="A1348" s="1" t="s">
        <v>3464</v>
      </c>
      <c r="B1348" s="1" t="str">
        <f ca="1">IFERROR(__xludf.DUMFUNCTION("GOOGLETRANSLATE(A1401,""id"",""en"")"),"JULY BANDUNG TASIKMALAYA CIAMIS SUKABUMI BUY BIOSOLO SUBSIDI BIOSOLO PERTALITE USING ")</f>
        <v xml:space="preserve">JULY BANDUNG TASIKMALAYA CIAMIS SUKABUMI BUY BIOSOLO SUBSIDI BIOSOLO PERTALITE USING </v>
      </c>
    </row>
    <row r="1349" spans="1:2" x14ac:dyDescent="0.2">
      <c r="A1349" s="1" t="s">
        <v>3465</v>
      </c>
      <c r="B1349" s="1" t="str">
        <f ca="1">IFERROR(__xludf.DUMFUNCTION("GOOGLETRANSLATE(A1402,""id"",""en"")"),"Roda Kendara is not obliged to buy pertalite using the  application if you understand the name of the Kendara Mgkn name after buying a vehicle")</f>
        <v>Roda Kendara is not obliged to buy pertalite using the  application if you understand the name of the Kendara Mgkn name after buying a vehicle</v>
      </c>
    </row>
    <row r="1350" spans="1:2" x14ac:dyDescent="0.2">
      <c r="A1350" s="1" t="s">
        <v>3466</v>
      </c>
      <c r="B1350" s="1" t="str">
        <f ca="1">IFERROR(__xludf.DUMFUNCTION("GOOGLETRANSLATE(A1403,""id"",""en"")")," is wrong with  subsidized fuel")</f>
        <v xml:space="preserve"> is wrong with  subsidized fuel</v>
      </c>
    </row>
    <row r="1351" spans="1:2" x14ac:dyDescent="0.2">
      <c r="A1351" s="1" t="s">
        <v>3467</v>
      </c>
      <c r="B1351" s="1" t="str">
        <f ca="1">IFERROR(__xludf.DUMFUNCTION("GOOGLETRANSLATE(A1404,""id"",""en"")"),"Tomorrow  Open the List of BUY BUY BBM SUBSIDI ")</f>
        <v xml:space="preserve">Tomorrow  Open the List of BUY BUY BBM SUBSIDI </v>
      </c>
    </row>
    <row r="1352" spans="1:2" x14ac:dyDescent="0.2">
      <c r="A1352" s="1" t="s">
        <v>3468</v>
      </c>
      <c r="B1352" s="1" t="str">
        <f ca="1">IFERROR(__xludf.DUMFUNCTION("GOOGLETRANSLATE(A1405,""id"",""en"")"),"Monitor the Play Store Rating  Application")</f>
        <v>Monitor the Play Store Rating  Application</v>
      </c>
    </row>
    <row r="1353" spans="1:2" x14ac:dyDescent="0.2">
      <c r="A1353" s="1" t="s">
        <v>3469</v>
      </c>
      <c r="B1353" s="1" t="str">
        <f ca="1">IFERROR(__xludf.DUMFUNCTION("GOOGLETRANSLATE(A1406,""id"",""en"")"),"Buy Pertalite Solar Using  Safe Data Guarantee")</f>
        <v>Buy Pertalite Solar Using  Safe Data Guarantee</v>
      </c>
    </row>
    <row r="1354" spans="1:2" x14ac:dyDescent="0.2">
      <c r="A1354" s="1" t="s">
        <v>3470</v>
      </c>
      <c r="B1354" s="1" t="str">
        <f ca="1">IFERROR(__xludf.DUMFUNCTION("GOOGLETRANSLATE(A1407,""id"",""en"")"),"dare to be firmly obliged to belong to the  application secretary of  Patra Niaga")</f>
        <v>dare to be firmly obliged to belong to the  application secretary of  Patra Niaga</v>
      </c>
    </row>
    <row r="1355" spans="1:2" x14ac:dyDescent="0.2">
      <c r="A1355" s="1" t="s">
        <v>3471</v>
      </c>
      <c r="B1355" s="1" t="str">
        <f ca="1">IFERROR(__xludf.DUMFUNCTION("GOOGLETRANSLATE(A1408,""id"",""en"")"),"great, the DPR fully supports the distribution of fuel subsidies for fair ")</f>
        <v xml:space="preserve">great, the DPR fully supports the distribution of fuel subsidies for fair </v>
      </c>
    </row>
    <row r="1356" spans="1:2" x14ac:dyDescent="0.2">
      <c r="A1356" s="1" t="s">
        <v>3472</v>
      </c>
      <c r="B1356" s="1" t="str">
        <f ca="1">IFERROR(__xludf.DUMFUNCTION("GOOGLETRANSLATE(A1409,""id"",""en"")"),"List of  owned by Kendara Roda Phase Focus List Suitable Data List of Community Documents Data Kendara Owned")</f>
        <v>List of  owned by Kendara Roda Phase Focus List Suitable Data List of Community Documents Data Kendara Owned</v>
      </c>
    </row>
    <row r="1357" spans="1:2" x14ac:dyDescent="0.2">
      <c r="A1357" s="1" t="s">
        <v>3473</v>
      </c>
      <c r="B1357" s="1" t="str">
        <f ca="1">IFERROR(__xludf.DUMFUNCTION("GOOGLETRANSLATE(A1410,""id"",""en"")"),"Easy to buy a complete purchase of Pertalite Solar .")</f>
        <v>Easy to buy a complete purchase of Pertalite Solar .</v>
      </c>
    </row>
    <row r="1358" spans="1:2" x14ac:dyDescent="0.2">
      <c r="A1358" s="1" t="s">
        <v>3474</v>
      </c>
      <c r="B1358" s="1" t="str">
        <f ca="1">IFERROR(__xludf.DUMFUNCTION("GOOGLETRANSLATE(A1411,""id"",""en"")"),"Use QR  for Pertalite guarantees complete Sasar.")</f>
        <v>Use QR  for Pertalite guarantees complete Sasar.</v>
      </c>
    </row>
    <row r="1359" spans="1:2" x14ac:dyDescent="0.2">
      <c r="A1359" s="1" t="s">
        <v>3475</v>
      </c>
      <c r="B1359" s="1" t="str">
        <f ca="1">IFERROR(__xludf.DUMFUNCTION("GOOGLETRANSLATE(A1412,""id"",""en"")"),"yes care about the protected gt ")</f>
        <v xml:space="preserve">yes care about the protected gt </v>
      </c>
    </row>
    <row r="1360" spans="1:2" x14ac:dyDescent="0.2">
      <c r="A1360" s="1" t="s">
        <v>3476</v>
      </c>
      <c r="B1360" s="1" t="str">
        <f ca="1">IFERROR(__xludf.DUMFUNCTION("GOOGLETRANSLATE(A1413,""id"",""en"")"),"Residents Fill in Pertalite Using  Netizens Netting Review Playstore Applications")</f>
        <v>Residents Fill in Pertalite Using  Netizens Netting Review Playstore Applications</v>
      </c>
    </row>
    <row r="1361" spans="1:2" x14ac:dyDescent="0.2">
      <c r="A1361" s="1" t="s">
        <v>3477</v>
      </c>
      <c r="B1361" s="1" t="str">
        <f ca="1">IFERROR(__xludf.DUMFUNCTION("GOOGLETRANSLATE(A1414,""id"",""en"")"),"Pertalite Buy LPG Kilogram Using the  Fusilat News Application")</f>
        <v>Pertalite Buy LPG Kilogram Using the  Fusilat News Application</v>
      </c>
    </row>
    <row r="1362" spans="1:2" x14ac:dyDescent="0.2">
      <c r="A1362" s="1" t="s">
        <v>3478</v>
      </c>
      <c r="B1362" s="1" t="str">
        <f ca="1">IFERROR(__xludf.DUMFUNCTION("GOOGLETRANSLATE(A1415,""id"",""en"")"),"well,  Data Community Buy BBM Subsidies Type of  Prayer PERTALITE")</f>
        <v>well,  Data Community Buy BBM Subsidies Type of  Prayer PERTALITE</v>
      </c>
    </row>
    <row r="1363" spans="1:2" x14ac:dyDescent="0.2">
      <c r="A1363" s="1" t="s">
        <v>3479</v>
      </c>
      <c r="B1363" s="1" t="str">
        <f ca="1">IFERROR(__xludf.DUMFUNCTION("GOOGLETRANSLATE(A1416,""id"",""en"")"),"calm down buy subsidized fuel using  kendara wheel")</f>
        <v>calm down buy subsidized fuel using  kendara wheel</v>
      </c>
    </row>
    <row r="1364" spans="1:2" x14ac:dyDescent="0.2">
      <c r="A1364" s="1" t="s">
        <v>3480</v>
      </c>
      <c r="B1364" s="1" t="str">
        <f ca="1">IFERROR(__xludf.DUMFUNCTION("GOOGLETRANSLATE(A1417,""id"",""en"")"),"Ken Tesla so that I don't use  when filling the gasoline")</f>
        <v>Ken Tesla so that I don't use  when filling the gasoline</v>
      </c>
    </row>
    <row r="1365" spans="1:2" x14ac:dyDescent="0.2">
      <c r="A1365" s="1" t="s">
        <v>3481</v>
      </c>
      <c r="B1365" s="1" t="str">
        <f ca="1">IFERROR(__xludf.DUMFUNCTION("GOOGLETRANSLATE(A1418,""id"",""en"")"),"poor people buy lpg kg using  very fusilat news")</f>
        <v>poor people buy lpg kg using  very fusilat news</v>
      </c>
    </row>
    <row r="1366" spans="1:2" x14ac:dyDescent="0.2">
      <c r="A1366" s="1" t="s">
        <v>3482</v>
      </c>
      <c r="B1366" s="1" t="str">
        <f ca="1">IFERROR(__xludf.DUMFUNCTION("GOOGLETRANSLATE(A1419,""id"",""en"")"),"Salah  VIRAL APPLICATION BAGUS ENTERING PT  Enterprising Socialization of Mitra Guna Several Regions")</f>
        <v>Salah  VIRAL APPLICATION BAGUS ENTERING PT  Enterprising Socialization of Mitra Guna Several Regions</v>
      </c>
    </row>
    <row r="1367" spans="1:2" x14ac:dyDescent="0.2">
      <c r="A1367" s="1" t="s">
        <v>2857</v>
      </c>
      <c r="B1367" s="1" t="str">
        <f ca="1">IFERROR(__xludf.DUMFUNCTION("GOOGLETRANSLATE(A1420,""id"",""en"")"),"Buy Pertalite List of  Motorcycle Cars")</f>
        <v>Buy Pertalite List of  Motorcycle Cars</v>
      </c>
    </row>
    <row r="1368" spans="1:2" x14ac:dyDescent="0.2">
      <c r="A1368" s="1" t="s">
        <v>2405</v>
      </c>
      <c r="B1368" s="1" t="str">
        <f ca="1">IFERROR(__xludf.DUMFUNCTION("GOOGLETRANSLATE(A1421,""id"",""en"")"),"Use the  BBM Subsidized Salang application")</f>
        <v>Use the  BBM Subsidized Salang application</v>
      </c>
    </row>
    <row r="1369" spans="1:2" x14ac:dyDescent="0.2">
      <c r="A1369" s="1" t="s">
        <v>3483</v>
      </c>
      <c r="B1369" s="1" t="str">
        <f ca="1">IFERROR(__xludf.DUMFUNCTION("GOOGLETRANSLATE(A1422,""id"",""en"")"),"Buy Pertalite Solar Buy LPG Kg Gas Tubes Must Register ")</f>
        <v xml:space="preserve">Buy Pertalite Solar Buy LPG Kg Gas Tubes Must Register </v>
      </c>
    </row>
    <row r="1370" spans="1:2" x14ac:dyDescent="0.2">
      <c r="A1370" s="1" t="s">
        <v>3484</v>
      </c>
      <c r="B1370" s="1" t="str">
        <f ca="1">IFERROR(__xludf.DUMFUNCTION("GOOGLETRANSLATE(A1423,""id"",""en"")"),"Yes, wrong commands to take the profit of the public application complaints to find out using the  application")</f>
        <v>Yes, wrong commands to take the profit of the public application complaints to find out using the  application</v>
      </c>
    </row>
    <row r="1371" spans="1:2" x14ac:dyDescent="0.2">
      <c r="A1371" s="1" t="s">
        <v>3485</v>
      </c>
      <c r="B1371" s="1" t="str">
        <f ca="1">IFERROR(__xludf.DUMFUNCTION("GOOGLETRANSLATE(A1424,""id"",""en"")"),"Buy Pertalite belonging to the Tempobusiness  application")</f>
        <v>Buy Pertalite belonging to the Tempobusiness  application</v>
      </c>
    </row>
    <row r="1372" spans="1:2" x14ac:dyDescent="0.2">
      <c r="A1372" s="1" t="s">
        <v>3486</v>
      </c>
      <c r="B1372" s="1" t="str">
        <f ca="1">IFERROR(__xludf.DUMFUNCTION("GOOGLETRANSLATE(A1425,""id"",""en"")")," is firmly buying LPG Kg Free List of  Consumer Must Register Site by LPG Kg")</f>
        <v xml:space="preserve"> is firmly buying LPG Kg Free List of  Consumer Must Register Site by LPG Kg</v>
      </c>
    </row>
    <row r="1373" spans="1:2" x14ac:dyDescent="0.2">
      <c r="A1373" s="1" t="s">
        <v>3487</v>
      </c>
      <c r="B1373" s="1" t="str">
        <f ca="1">IFERROR(__xludf.DUMFUNCTION("GOOGLETRANSLATE(A1426,""id"",""en"")"),"Sis  Delivery Service PDS via the  Menu Pay Menu Application Pictures Image Pictures Pictures  Call Center Duta")</f>
        <v>Sis  Delivery Service PDS via the  Menu Pay Menu Application Pictures Image Pictures Pictures  Call Center Duta</v>
      </c>
    </row>
    <row r="1374" spans="1:2" x14ac:dyDescent="0.2">
      <c r="A1374" s="1" t="s">
        <v>3046</v>
      </c>
      <c r="B1374" s="1" t="str">
        <f ca="1">IFERROR(__xludf.DUMFUNCTION("GOOGLETRANSLATE(A1427,""id"",""en"")"),"List of  Applications Read Info Gaes July BBM Limits SUBSIDI OPEN ENERGIZINGYOU ENERGIZINGYOURFUTURE")</f>
        <v>List of  Applications Read Info Gaes July BBM Limits SUBSIDI OPEN ENERGIZINGYOU ENERGIZINGYOURFUTURE</v>
      </c>
    </row>
    <row r="1375" spans="1:2" x14ac:dyDescent="0.2">
      <c r="A1375" s="1" t="s">
        <v>3488</v>
      </c>
      <c r="B1375" s="1" t="str">
        <f ca="1">IFERROR(__xludf.DUMFUNCTION("GOOGLETRANSLATE(A1428,""id"",""en"")"),"lpg kg uses  app too")</f>
        <v>lpg kg uses  app too</v>
      </c>
    </row>
    <row r="1376" spans="1:2" x14ac:dyDescent="0.2">
      <c r="A1376" s="1" t="s">
        <v>3489</v>
      </c>
      <c r="B1376" s="1" t="str">
        <f ca="1">IFERROR(__xludf.DUMFUNCTION("GOOGLETRANSLATE(A1429,""id"",""en"")"),"It's better to read it so that I am not mistaken, the list of   applications is not mistaken if I am confused to help  gas stations, there is a booth")</f>
        <v>It's better to read it so that I am not mistaken, the list of   applications is not mistaken if I am confused to help  gas stations, there is a booth</v>
      </c>
    </row>
    <row r="1377" spans="1:2" x14ac:dyDescent="0.2">
      <c r="A1377" s="1" t="s">
        <v>3490</v>
      </c>
      <c r="B1377" s="1" t="str">
        <f ca="1">IFERROR(__xludf.DUMFUNCTION("GOOGLETRANSLATE(A1430,""id"",""en"")"),"Yes, cook you, fill in the motorbike rickshaw using ")</f>
        <v xml:space="preserve">Yes, cook you, fill in the motorbike rickshaw using </v>
      </c>
    </row>
    <row r="1378" spans="1:2" x14ac:dyDescent="0.2">
      <c r="A1378" s="1" t="s">
        <v>3491</v>
      </c>
      <c r="B1378" s="1" t="str">
        <f ca="1">IFERROR(__xludf.DUMFUNCTION("GOOGLETRANSLATE(A1431,""id"",""en"")"),"DPR Supports the  Program in the Benefits of Indonesian Society")</f>
        <v>DPR Supports the  Program in the Benefits of Indonesian Society</v>
      </c>
    </row>
    <row r="1379" spans="1:2" x14ac:dyDescent="0.2">
      <c r="A1379" s="1" t="s">
        <v>3492</v>
      </c>
      <c r="B1379" s="1" t="str">
        <f ca="1">IFERROR(__xludf.DUMFUNCTION("GOOGLETRANSLATE(A1432,""id"",""en"")"),"Cunitsabumi is not the one who develops  again, when the age of the SOEs is BUMN")</f>
        <v>Cunitsabumi is not the one who develops  again, when the age of the SOEs is BUMN</v>
      </c>
    </row>
    <row r="1380" spans="1:2" x14ac:dyDescent="0.2">
      <c r="A1380" s="1" t="s">
        <v>20</v>
      </c>
      <c r="B1380" s="1" t="str">
        <f ca="1">IFERROR(__xludf.DUMFUNCTION("GOOGLETRANSLATE(A1433,""id"",""en"")"),"Reviewing")</f>
        <v>Reviewing</v>
      </c>
    </row>
    <row r="1381" spans="1:2" x14ac:dyDescent="0.2">
      <c r="A1381" s="1" t="s">
        <v>3493</v>
      </c>
      <c r="B1381" s="1" t="str">
        <f ca="1">IFERROR(__xludf.DUMFUNCTION("GOOGLETRANSLATE(A1434,""id"",""en"")"),"Use the  Drun application easily watch out for fuel fuel subsidized BBM command Rp. Trillion Favors The rich people understand the aim of Drun Kadrun")</f>
        <v>Use the  Drun application easily watch out for fuel fuel subsidized BBM command Rp. Trillion Favors The rich people understand the aim of Drun Kadrun</v>
      </c>
    </row>
    <row r="1382" spans="1:2" x14ac:dyDescent="0.2">
      <c r="A1382" s="1" t="s">
        <v>3260</v>
      </c>
      <c r="B1382" s="1" t="str">
        <f ca="1">IFERROR(__xludf.DUMFUNCTION("GOOGLETRANSLATE(A1435,""id"",""en"")"),"buy pertalite using  qr code for cheating measuring")</f>
        <v>buy pertalite using  qr code for cheating measuring</v>
      </c>
    </row>
    <row r="1383" spans="1:2" x14ac:dyDescent="0.2">
      <c r="A1383" s="1" t="s">
        <v>3494</v>
      </c>
      <c r="B1383" s="1" t="str">
        <f ca="1">IFERROR(__xludf.DUMFUNCTION("GOOGLETRANSLATE(A1436,""id"",""en"")"),"Gais know that the July Data Data List  Limits Buy BBM Subsidies")</f>
        <v>Gais know that the July Data Data List  Limits Buy BBM Subsidies</v>
      </c>
    </row>
    <row r="1384" spans="1:2" x14ac:dyDescent="0.2">
      <c r="A1384" s="1" t="s">
        <v>3495</v>
      </c>
      <c r="B1384" s="1" t="str">
        <f ca="1">IFERROR(__xludf.DUMFUNCTION("GOOGLETRANSLATE(A1437,""id"",""en"")"),"Fill in the special pertalite using  just pay the link so it doesn't go bankrupt")</f>
        <v>Fill in the special pertalite using  just pay the link so it doesn't go bankrupt</v>
      </c>
    </row>
    <row r="1385" spans="1:2" x14ac:dyDescent="0.2">
      <c r="A1385" s="1" t="s">
        <v>3496</v>
      </c>
      <c r="B1385" s="1" t="str">
        <f ca="1">IFERROR(__xludf.DUMFUNCTION("GOOGLETRANSLATE(A1438,""id"",""en"")"),"Splashy Discourse to Buy Pertalite Solar Using  Clearly   Pertalite Pertaliteedansolar ")</f>
        <v xml:space="preserve">Splashy Discourse to Buy Pertalite Solar Using  Clearly   Pertalite Pertaliteedansolar </v>
      </c>
    </row>
    <row r="1386" spans="1:2" x14ac:dyDescent="0.2">
      <c r="A1386" s="1" t="s">
        <v>3359</v>
      </c>
      <c r="B1386" s="1" t="str">
        <f ca="1">IFERROR(__xludf.DUMFUNCTION("GOOGLETRANSLATE(A1439,""id"",""en"")"),"firmly belongs to the  application Secretary of  Business Patra Niaga")</f>
        <v>firmly belongs to the  application Secretary of  Business Patra Niaga</v>
      </c>
    </row>
    <row r="1387" spans="1:2" x14ac:dyDescent="0.2">
      <c r="A1387" s="1" t="s">
        <v>3497</v>
      </c>
      <c r="B1387" s="1" t="str">
        <f ca="1">IFERROR(__xludf.DUMFUNCTION("GOOGLETRANSLATE(A1440,""id"",""en"")")," halang love")</f>
        <v xml:space="preserve"> halang love</v>
      </c>
    </row>
    <row r="1388" spans="1:2" x14ac:dyDescent="0.2">
      <c r="A1388" s="1" t="s">
        <v>3498</v>
      </c>
      <c r="B1388" s="1" t="str">
        <f ca="1">IFERROR(__xludf.DUMFUNCTION("GOOGLETRANSLATE(A1441,""id"",""en"")"),"wrong list of  owned by Kendara Roda")</f>
        <v>wrong list of  owned by Kendara Roda</v>
      </c>
    </row>
    <row r="1389" spans="1:2" x14ac:dyDescent="0.2">
      <c r="A1389" s="1" t="s">
        <v>3499</v>
      </c>
      <c r="B1389" s="1" t="str">
        <f ca="1">IFERROR(__xludf.DUMFUNCTION("GOOGLETRANSLATE(A1442,""id"",""en"")"),"see to understand ")</f>
        <v xml:space="preserve">see to understand </v>
      </c>
    </row>
    <row r="1390" spans="1:2" x14ac:dyDescent="0.2">
      <c r="A1390" s="1" t="s">
        <v>3500</v>
      </c>
      <c r="B1390" s="1" t="str">
        <f ca="1">IFERROR(__xludf.DUMFUNCTION("GOOGLETRANSLATE(A1443,""id"",""en"")"),"Buy Pertalite Mandatory List of  Flood Star Applications")</f>
        <v>Buy Pertalite Mandatory List of  Flood Star Applications</v>
      </c>
    </row>
    <row r="1391" spans="1:2" x14ac:dyDescent="0.2">
      <c r="A1391" s="1" t="s">
        <v>3501</v>
      </c>
      <c r="B1391" s="1" t="str">
        <f ca="1">IFERROR(__xludf.DUMFUNCTION("GOOGLETRANSLATE(A1444,""id"",""en"")"),"Tomorrow  Buy BBM Subsidies List of  Tempobusiness Sites Ht")</f>
        <v>Tomorrow  Buy BBM Subsidies List of  Tempobusiness Sites Ht</v>
      </c>
    </row>
    <row r="1392" spans="1:2" x14ac:dyDescent="0.2">
      <c r="A1392" s="1" t="s">
        <v>3502</v>
      </c>
      <c r="B1392" s="1" t="str">
        <f ca="1">IFERROR(__xludf.DUMFUNCTION("GOOGLETRANSLATE(A1445,""id"",""en"")"),"Alas Buy Pertalite Must Use  Jabodetabek")</f>
        <v>Alas Buy Pertalite Must Use  Jabodetabek</v>
      </c>
    </row>
    <row r="1393" spans="1:2" x14ac:dyDescent="0.2">
      <c r="A1393" s="1" t="s">
        <v>3503</v>
      </c>
      <c r="B1393" s="1" t="str">
        <f ca="1">IFERROR(__xludf.DUMFUNCTION("GOOGLETRANSLATE(A1446,""id"",""en"")"),"Confused  Ready to booth offline  application consultation")</f>
        <v>Confused  Ready to booth offline  application consultation</v>
      </c>
    </row>
    <row r="1394" spans="1:2" x14ac:dyDescent="0.2">
      <c r="A1394" s="1" t="s">
        <v>3504</v>
      </c>
      <c r="B1394" s="1" t="str">
        <f ca="1">IFERROR(__xludf.DUMFUNCTION("GOOGLETRANSLATE(A1447,""id"",""en"")"),"Safe using a gas station, buy  fuel")</f>
        <v>Safe using a gas station, buy  fuel</v>
      </c>
    </row>
    <row r="1395" spans="1:2" x14ac:dyDescent="0.2">
      <c r="A1395" s="1" t="s">
        <v>3505</v>
      </c>
      <c r="B1395" s="1" t="str">
        <f ca="1">IFERROR(__xludf.DUMFUNCTION("GOOGLETRANSLATE(A1448,""id"",""en"")"),"Buy Pertalite Solar Using the  Application for BBM Subsidy Rp.")</f>
        <v>Buy Pertalite Solar Using the  Application for BBM Subsidy Rp.</v>
      </c>
    </row>
    <row r="1396" spans="1:2" x14ac:dyDescent="0.2">
      <c r="A1396" s="1" t="s">
        <v>3104</v>
      </c>
      <c r="B1396" s="1" t="str">
        <f ca="1">IFERROR(__xludf.DUMFUNCTION("GOOGLETRANSLATE(A1449,""id"",""en"")"),"Buy Pertalite Solar Using  tomorrow Jogja Residents SPBU Location of Flash Test")</f>
        <v>Buy Pertalite Solar Using  tomorrow Jogja Residents SPBU Location of Flash Test</v>
      </c>
    </row>
    <row r="1397" spans="1:2" x14ac:dyDescent="0.2">
      <c r="A1397" s="1" t="s">
        <v>3506</v>
      </c>
      <c r="B1397" s="1" t="str">
        <f ca="1">IFERROR(__xludf.DUMFUNCTION("GOOGLETRANSLATE(A1450,""id"",""en"")"),"Obviously the boisterous turning ")</f>
        <v xml:space="preserve">Obviously the boisterous turning </v>
      </c>
    </row>
    <row r="1398" spans="1:2" x14ac:dyDescent="0.2">
      <c r="A1398" s="1" t="s">
        <v>3507</v>
      </c>
      <c r="B1398" s="1" t="str">
        <f ca="1">IFERROR(__xludf.DUMFUNCTION("GOOGLETRANSLATE(A1451,""id"",""en"")"),"List of  Buy BBM Pertalite Solar Laku July West Java Region")</f>
        <v>List of  Buy BBM Pertalite Solar Laku July West Java Region</v>
      </c>
    </row>
    <row r="1399" spans="1:2" x14ac:dyDescent="0.2">
      <c r="A1399" s="1" t="s">
        <v>3508</v>
      </c>
      <c r="B1399" s="1" t="str">
        <f ca="1">IFERROR(__xludf.DUMFUNCTION("GOOGLETRANSLATE(A1452,""id"",""en"")"),"panicked the limit of buying fuel subsidies for  application")</f>
        <v>panicked the limit of buying fuel subsidies for  application</v>
      </c>
    </row>
    <row r="1400" spans="1:2" x14ac:dyDescent="0.2">
      <c r="A1400" s="1" t="s">
        <v>2458</v>
      </c>
      <c r="B1400" s="1" t="str">
        <f ca="1">IFERROR(__xludf.DUMFUNCTION("GOOGLETRANSLATE(A1453,""id"",""en"")"),"List of BBM subsidies for a special  website")</f>
        <v>List of BBM subsidies for a special  website</v>
      </c>
    </row>
    <row r="1401" spans="1:2" x14ac:dyDescent="0.2">
      <c r="A1401" s="1" t="s">
        <v>3509</v>
      </c>
      <c r="B1401" s="1" t="str">
        <f ca="1">IFERROR(__xludf.DUMFUNCTION("GOOGLETRANSLATE(A1454,""id"",""en"")"),"Ggegara Putin Set Selling Tomorrow Tomorrow Electricity Rates Buy Pertalite Using ")</f>
        <v xml:space="preserve">Ggegara Putin Set Selling Tomorrow Tomorrow Electricity Rates Buy Pertalite Using </v>
      </c>
    </row>
    <row r="1402" spans="1:2" x14ac:dyDescent="0.2">
      <c r="A1402" s="1" t="s">
        <v>3510</v>
      </c>
      <c r="B1402" s="1" t="str">
        <f ca="1">IFERROR(__xludf.DUMFUNCTION("GOOGLETRANSLATE(A1455,""id"",""en"")"),"Tomorrow  Buy BBM Subsidies List of Tempobusiness  Sites")</f>
        <v>Tomorrow  Buy BBM Subsidies List of Tempobusiness  Sites</v>
      </c>
    </row>
    <row r="1403" spans="1:2" x14ac:dyDescent="0.2">
      <c r="A1403" s="1" t="s">
        <v>3511</v>
      </c>
      <c r="B1403" s="1" t="str">
        <f ca="1">IFERROR(__xludf.DUMFUNCTION("GOOGLETRANSLATE(A1456,""id"",""en"")"),"It's really great, subsidized fuel via , press the Field BBM intersection")</f>
        <v>It's really great, subsidized fuel via , press the Field BBM intersection</v>
      </c>
    </row>
    <row r="1404" spans="1:2" x14ac:dyDescent="0.2">
      <c r="A1404" s="1" t="s">
        <v>2629</v>
      </c>
      <c r="B1404" s="1" t="str">
        <f ca="1">IFERROR(__xludf.DUMFUNCTION("GOOGLETRANSLATE(A1457,""id"",""en"")"),"Buy Pertalite Buy Gas Kg Jg List  Crazy Regime")</f>
        <v>Buy Pertalite Buy Gas Kg Jg List  Crazy Regime</v>
      </c>
    </row>
    <row r="1405" spans="1:2" x14ac:dyDescent="0.2">
      <c r="A1405" s="1" t="s">
        <v>3512</v>
      </c>
      <c r="B1405" s="1" t="str">
        <f ca="1">IFERROR(__xludf.DUMFUNCTION("GOOGLETRANSLATE(A1458,""id"",""en"")"),"If I just ok, but I will not want to buy a cellphone to buy gasoline, if the application is forced to be forced Pertamax Gasoline, but the money is complicated ")</f>
        <v xml:space="preserve">If I just ok, but I will not want to buy a cellphone to buy gasoline, if the application is forced to be forced Pertamax Gasoline, but the money is complicated </v>
      </c>
    </row>
    <row r="1406" spans="1:2" x14ac:dyDescent="0.2">
      <c r="A1406" s="1" t="s">
        <v>3513</v>
      </c>
      <c r="B1406" s="1" t="str">
        <f ca="1">IFERROR(__xludf.DUMFUNCTION("GOOGLETRANSLATE(A1459,""id"",""en"")"),"Buy Pertalite Solar Using the  Application for BBM Subsidies Rp")</f>
        <v>Buy Pertalite Solar Using the  Application for BBM Subsidies Rp</v>
      </c>
    </row>
    <row r="1407" spans="1:2" x14ac:dyDescent="0.2">
      <c r="A1407" s="1" t="s">
        <v>85</v>
      </c>
      <c r="B1407" s="1" t="str">
        <f ca="1">IFERROR(__xludf.DUMFUNCTION("GOOGLETRANSLATE(A1460,""id"",""en"")"),"info guys July BBM Limits Subsidized Open a Panic List")</f>
        <v>info guys July BBM Limits Subsidized Open a Panic List</v>
      </c>
    </row>
    <row r="1408" spans="1:2" x14ac:dyDescent="0.2">
      <c r="A1408" s="1" t="s">
        <v>3514</v>
      </c>
      <c r="B1408" s="1" t="str">
        <f ca="1">IFERROR(__xludf.DUMFUNCTION("GOOGLETRANSLATE(A1461,""id"",""en"")"),"Here, check the facts, buy BBM Pertalite Salat, Mandatory  Application")</f>
        <v>Here, check the facts, buy BBM Pertalite Salat, Mandatory  Application</v>
      </c>
    </row>
    <row r="1409" spans="1:2" x14ac:dyDescent="0.2">
      <c r="A1409" s="1" t="s">
        <v>3515</v>
      </c>
      <c r="B1409" s="1" t="str">
        <f ca="1">IFERROR(__xludf.DUMFUNCTION("GOOGLETRANSLATE(A1462,""id"",""en"")")," Straight Congestion Wisely Buy Pertalite Must List One of the Mandatory Downloads perta")</f>
        <v xml:space="preserve"> Straight Congestion Wisely Buy Pertalite Must List One of the Mandatory Downloads perta</v>
      </c>
    </row>
    <row r="1410" spans="1:2" x14ac:dyDescent="0.2">
      <c r="A1410" s="1" t="s">
        <v>3516</v>
      </c>
      <c r="B1410" s="1" t="str">
        <f ca="1">IFERROR(__xludf.DUMFUNCTION("GOOGLETRANSLATE(A1463,""id"",""en"")"),"hard to download ")</f>
        <v xml:space="preserve">hard to download </v>
      </c>
    </row>
    <row r="1411" spans="1:2" x14ac:dyDescent="0.2">
      <c r="A1411" s="1" t="s">
        <v>86</v>
      </c>
      <c r="B1411" s="1" t="str">
        <f ca="1">IFERROR(__xludf.DUMFUNCTION("GOOGLETRANSLATE(A1464,""id"",""en"")"),"Idly go to fuel subsidized subsidized people who are just distributive right of the package")</f>
        <v>Idly go to fuel subsidized subsidized people who are just distributive right of the package</v>
      </c>
    </row>
    <row r="1412" spans="1:2" x14ac:dyDescent="0.2">
      <c r="A1412" s="1" t="s">
        <v>3517</v>
      </c>
      <c r="B1412" s="1" t="str">
        <f ca="1">IFERROR(__xludf.DUMFUNCTION("GOOGLETRANSLATE(A1465,""id"",""en"")"),"Sometimes it makes wise thinking plus minus the sat set sat set makes   wisely the government policy")</f>
        <v>Sometimes it makes wise thinking plus minus the sat set sat set makes   wisely the government policy</v>
      </c>
    </row>
    <row r="1413" spans="1:2" x14ac:dyDescent="0.2">
      <c r="A1413" s="1" t="s">
        <v>3518</v>
      </c>
      <c r="B1413" s="1" t="str">
        <f ca="1">IFERROR(__xludf.DUMFUNCTION("GOOGLETRANSLATE(A1466,""id"",""en"")"),"forgot to install the  application guys except for the contents of the BBM Ale Ale")</f>
        <v>forgot to install the  application guys except for the contents of the BBM Ale Ale</v>
      </c>
    </row>
    <row r="1414" spans="1:2" x14ac:dyDescent="0.2">
      <c r="A1414" s="1" t="s">
        <v>3519</v>
      </c>
      <c r="B1414" s="1" t="str">
        <f ca="1">IFERROR(__xludf.DUMFUNCTION("GOOGLETRANSLATE(A1467,""id"",""en"")")," Kendara Motor List of  Applications Testing Trial Buy Pertalite")</f>
        <v xml:space="preserve"> Kendara Motor List of  Applications Testing Trial Buy Pertalite</v>
      </c>
    </row>
    <row r="1415" spans="1:2" x14ac:dyDescent="0.2">
      <c r="A1415" s="1" t="s">
        <v>3520</v>
      </c>
      <c r="B1415" s="1" t="str">
        <f ca="1">IFERROR(__xludf.DUMFUNCTION("GOOGLETRANSLATE(A1468,""id"",""en"")"),"Aman to open  smartphone buy a clear gas station pertalite")</f>
        <v>Aman to open  smartphone buy a clear gas station pertalite</v>
      </c>
    </row>
    <row r="1416" spans="1:2" x14ac:dyDescent="0.2">
      <c r="A1416" s="1" t="s">
        <v>3521</v>
      </c>
      <c r="B1416" s="1" t="str">
        <f ca="1">IFERROR(__xludf.DUMFUNCTION("GOOGLETRANSLATE(A1469,""id"",""en"")"),"I said, unfortunately  isn't required to use a cellphone with  application using a barcode CEC")</f>
        <v>I said, unfortunately  isn't required to use a cellphone with  application using a barcode CEC</v>
      </c>
    </row>
    <row r="1417" spans="1:2" x14ac:dyDescent="0.2">
      <c r="A1417" s="1" t="s">
        <v>3522</v>
      </c>
      <c r="B1417" s="1" t="str">
        <f ca="1">IFERROR(__xludf.DUMFUNCTION("GOOGLETRANSLATE(A1470,""id"",""en"")"),"likes to eat high sauce high in the price of Eid al -Adha chili tomorrow, eating beef, you have an electronic ticket, how do you install , I already install it, it's already resistant to all")</f>
        <v>likes to eat high sauce high in the price of Eid al -Adha chili tomorrow, eating beef, you have an electronic ticket, how do you install , I already install it, it's already resistant to all</v>
      </c>
    </row>
    <row r="1418" spans="1:2" x14ac:dyDescent="0.2">
      <c r="A1418" s="1" t="s">
        <v>3523</v>
      </c>
      <c r="B1418" s="1" t="str">
        <f ca="1">IFERROR(__xludf.DUMFUNCTION("GOOGLETRANSLATE(A1471,""id"",""en"")"),"wisely buy fuel subsidies for the type of solar pertalite ")</f>
        <v xml:space="preserve">wisely buy fuel subsidies for the type of solar pertalite </v>
      </c>
    </row>
    <row r="1419" spans="1:2" x14ac:dyDescent="0.2">
      <c r="A1419" s="1" t="s">
        <v>3524</v>
      </c>
      <c r="B1419" s="1" t="str">
        <f ca="1">IFERROR(__xludf.DUMFUNCTION("GOOGLETRANSLATE(A1472,""id"",""en"")"),"asked why buy pertalite using ")</f>
        <v xml:space="preserve">asked why buy pertalite using </v>
      </c>
    </row>
    <row r="1420" spans="1:2" x14ac:dyDescent="0.2">
      <c r="A1420" s="1" t="s">
        <v>3520</v>
      </c>
      <c r="B1420" s="1" t="str">
        <f ca="1">IFERROR(__xludf.DUMFUNCTION("GOOGLETRANSLATE(A1473,""id"",""en"")"),"Aman to open  smartphone buy a clear gas station pertalite")</f>
        <v>Aman to open  smartphone buy a clear gas station pertalite</v>
      </c>
    </row>
    <row r="1421" spans="1:2" x14ac:dyDescent="0.2">
      <c r="A1421" s="1" t="s">
        <v>3525</v>
      </c>
      <c r="B1421" s="1" t="str">
        <f ca="1">IFERROR(__xludf.DUMFUNCTION("GOOGLETRANSLATE(A1474,""id"",""en"")"),"buy fuel subsidies for  applications for people, tomorrow, Friday, Friday")</f>
        <v>buy fuel subsidies for  applications for people, tomorrow, Friday, Friday</v>
      </c>
    </row>
    <row r="1422" spans="1:2" x14ac:dyDescent="0.2">
      <c r="A1422" s="1" t="s">
        <v>3526</v>
      </c>
      <c r="B1422" s="1" t="str">
        <f ca="1">IFERROR(__xludf.DUMFUNCTION("GOOGLETRANSLATE(A1475,""id"",""en"")"),"Headline News Krypto June Gateio Dailycryptonews Bitcoinetf ")</f>
        <v xml:space="preserve">Headline News Krypto June Gateio Dailycryptonews Bitcoinetf </v>
      </c>
    </row>
    <row r="1423" spans="1:2" x14ac:dyDescent="0.2">
      <c r="A1423" s="1" t="s">
        <v>3527</v>
      </c>
      <c r="B1423" s="1" t="str">
        <f ca="1">IFERROR(__xludf.DUMFUNCTION("GOOGLETRANSLATE(A1476,""id"",""en"")"),"gais  application doesn't access the list of the website")</f>
        <v>gais  application doesn't access the list of the website</v>
      </c>
    </row>
    <row r="1424" spans="1:2" x14ac:dyDescent="0.2">
      <c r="A1424" s="1" t="s">
        <v>3528</v>
      </c>
      <c r="B1424" s="1" t="str">
        <f ca="1">IFERROR(__xludf.DUMFUNCTION("GOOGLETRANSLATE(A1477,""id"",""en"")")," forced modern society")</f>
        <v xml:space="preserve"> forced modern society</v>
      </c>
    </row>
    <row r="1425" spans="1:2" x14ac:dyDescent="0.2">
      <c r="A1425" s="1" t="s">
        <v>3529</v>
      </c>
      <c r="B1425" s="1" t="str">
        <f ca="1">IFERROR(__xludf.DUMFUNCTION("GOOGLETRANSLATE(A1478,""id"",""en"")"),"oh pay using ")</f>
        <v xml:space="preserve">oh pay using </v>
      </c>
    </row>
    <row r="1426" spans="1:2" x14ac:dyDescent="0.2">
      <c r="A1426" s="1" t="s">
        <v>3530</v>
      </c>
      <c r="B1426" s="1" t="str">
        <f ca="1">IFERROR(__xludf.DUMFUNCTION("GOOGLETRANSLATE(A1479,""id"",""en"")")," Google Play Store Application Floods Star Review As a result of complaints of Agam Use")</f>
        <v xml:space="preserve"> Google Play Store Application Floods Star Review As a result of complaints of Agam Use</v>
      </c>
    </row>
    <row r="1427" spans="1:2" x14ac:dyDescent="0.2">
      <c r="A1427" s="1" t="s">
        <v>3531</v>
      </c>
      <c r="B1427" s="1" t="str">
        <f ca="1">IFERROR(__xludf.DUMFUNCTION("GOOGLETRANSLATE(A1480,""id"",""en"")"),"Pandu Access  Easily Practical Thank you wisely su")</f>
        <v>Pandu Access  Easily Practical Thank you wisely su</v>
      </c>
    </row>
    <row r="1428" spans="1:2" x14ac:dyDescent="0.2">
      <c r="A1428" s="1" t="s">
        <v>3532</v>
      </c>
      <c r="B1428" s="1" t="str">
        <f ca="1">IFERROR(__xludf.DUMFUNCTION("GOOGLETRANSLATE(A1481,""id"",""en"")"),"confide in bang people lg mumet because the application  is rejecting ")</f>
        <v xml:space="preserve">confide in bang people lg mumet because the application  is rejecting </v>
      </c>
    </row>
    <row r="1429" spans="1:2" x14ac:dyDescent="0.2">
      <c r="A1429" s="1" t="s">
        <v>87</v>
      </c>
      <c r="B1429" s="1" t="str">
        <f ca="1">IFERROR(__xludf.DUMFUNCTION("GOOGLETRANSLATE(A1482,""id"",""en"")"),"FYI BESTIE JULI BBM LIMITS subsidized open the list, don't panic")</f>
        <v>FYI BESTIE JULI BBM LIMITS subsidized open the list, don't panic</v>
      </c>
    </row>
    <row r="1430" spans="1:2" x14ac:dyDescent="0.2">
      <c r="A1430" s="1" t="s">
        <v>3533</v>
      </c>
      <c r="B1430" s="1" t="str">
        <f ca="1">IFERROR(__xludf.DUMFUNCTION("GOOGLETRANSLATE(A1483,""id"",""en"")"),"already many testimonials btp complicated messed up apl  is applied to lap chaos deh involving queuing people with error apps etc.")</f>
        <v>already many testimonials btp complicated messed up apl  is applied to lap chaos deh involving queuing people with error apps etc.</v>
      </c>
    </row>
    <row r="1431" spans="1:2" x14ac:dyDescent="0.2">
      <c r="A1431" s="1" t="s">
        <v>3534</v>
      </c>
      <c r="B1431" s="1" t="str">
        <f ca="1">IFERROR(__xludf.DUMFUNCTION("GOOGLETRANSLATE(A1484,""id"",""en"")"),"the public is obliged to register for  applications to buy solar pertalite many bugs of star flood applications")</f>
        <v>the public is obliged to register for  applications to buy solar pertalite many bugs of star flood applications</v>
      </c>
    </row>
    <row r="1432" spans="1:2" x14ac:dyDescent="0.2">
      <c r="A1432" s="1" t="s">
        <v>3535</v>
      </c>
      <c r="B1432" s="1" t="str">
        <f ca="1">IFERROR(__xludf.DUMFUNCTION("GOOGLETRANSLATE(A1485,""id"",""en"")"),"July use  let's see clearly")</f>
        <v>July use  let's see clearly</v>
      </c>
    </row>
    <row r="1433" spans="1:2" x14ac:dyDescent="0.2">
      <c r="A1433" s="1" t="s">
        <v>3536</v>
      </c>
      <c r="B1433" s="1" t="str">
        <f ca="1">IFERROR(__xludf.DUMFUNCTION("GOOGLETRANSLATE(A1486,""id"",""en"")"),"LPG Kg Poor citizens from the perspective of the Poor must be difficult to access  Gaksie")</f>
        <v>LPG Kg Poor citizens from the perspective of the Poor must be difficult to access  Gaksie</v>
      </c>
    </row>
    <row r="1434" spans="1:2" x14ac:dyDescent="0.2">
      <c r="A1434" s="1" t="s">
        <v>2959</v>
      </c>
      <c r="B1434" s="1" t="str">
        <f ca="1">IFERROR(__xludf.DUMFUNCTION("GOOGLETRANSLATE(A1487,""id"",""en"")"),"Indonesian netizens against the  Bombardir Application Review of Netizen Stars")</f>
        <v>Indonesian netizens against the  Bombardir Application Review of Netizen Stars</v>
      </c>
    </row>
    <row r="1435" spans="1:2" x14ac:dyDescent="0.2">
      <c r="A1435" s="1" t="s">
        <v>88</v>
      </c>
      <c r="B1435" s="1" t="str">
        <f ca="1">IFERROR(__xludf.DUMFUNCTION("GOOGLETRANSLATE(A1488,""id"",""en"")"),"Difficult Difficult to Copotmenteridongkongok Copotmenteridongok Era Jokowi Buy Migor Using")</f>
        <v>Difficult Difficult to Copotmenteridongkongok Copotmenteridongok Era Jokowi Buy Migor Using</v>
      </c>
    </row>
    <row r="1436" spans="1:2" x14ac:dyDescent="0.2">
      <c r="A1436" s="1" t="s">
        <v>3537</v>
      </c>
      <c r="B1436" s="1" t="str">
        <f ca="1">IFERROR(__xludf.DUMFUNCTION("GOOGLETRANSLATE(A1489,""id"",""en"")"),"Motorcycle List  Buy Pertalite")</f>
        <v>Motorcycle List  Buy Pertalite</v>
      </c>
    </row>
    <row r="1437" spans="1:2" x14ac:dyDescent="0.2">
      <c r="A1437" s="1" t="s">
        <v>3538</v>
      </c>
      <c r="B1437" s="1" t="str">
        <f ca="1">IFERROR(__xludf.DUMFUNCTION("GOOGLETRANSLATE(A1490,""id"",""en"")"),"Sri Mulyani System Ready to   Subsidies LPG Sasar")</f>
        <v>Sri Mulyani System Ready to   Subsidies LPG Sasar</v>
      </c>
    </row>
    <row r="1438" spans="1:2" x14ac:dyDescent="0.2">
      <c r="A1438" s="1" t="s">
        <v>3269</v>
      </c>
      <c r="B1438" s="1" t="str">
        <f ca="1">IFERROR(__xludf.DUMFUNCTION("GOOGLETRANSLATE(A1491,""id"",""en"")")," is obliged to list the  Guna LPG Kg Kg Site Site")</f>
        <v xml:space="preserve"> is obliged to list the  Guna LPG Kg Kg Site Site</v>
      </c>
    </row>
    <row r="1439" spans="1:2" x14ac:dyDescent="0.2">
      <c r="A1439" s="1" t="s">
        <v>3539</v>
      </c>
      <c r="B1439" s="1" t="str">
        <f ca="1">IFERROR(__xludf.DUMFUNCTION("GOOGLETRANSLATE(A1492,""id"",""en"")"),"motorbike doesn't use ")</f>
        <v xml:space="preserve">motorbike doesn't use </v>
      </c>
    </row>
    <row r="1440" spans="1:2" x14ac:dyDescent="0.2">
      <c r="A1440" s="1" t="s">
        <v>3540</v>
      </c>
      <c r="B1440" s="1" t="str">
        <f ca="1">IFERROR(__xludf.DUMFUNCTION("GOOGLETRANSLATE(A1493,""id"",""en"")"),"forgot to download the  application, yes, let me buy a fuel for Pertalite Solar Jakarta Indonesia")</f>
        <v>forgot to download the  application, yes, let me buy a fuel for Pertalite Solar Jakarta Indonesia</v>
      </c>
    </row>
    <row r="1441" spans="1:2" x14ac:dyDescent="0.2">
      <c r="A1441" s="1" t="s">
        <v>3541</v>
      </c>
      <c r="B1441" s="1" t="str">
        <f ca="1">IFERROR(__xludf.DUMFUNCTION("GOOGLETRANSLATE(A1494,""id"",""en"")"),"duh hard to download ")</f>
        <v xml:space="preserve">duh hard to download </v>
      </c>
    </row>
    <row r="1442" spans="1:2" x14ac:dyDescent="0.2">
      <c r="A1442" s="1" t="s">
        <v>3542</v>
      </c>
      <c r="B1442" s="1" t="str">
        <f ca="1">IFERROR(__xludf.DUMFUNCTION("GOOGLETRANSLATE(A1495,""id"",""en"")"),"Grabpools Market Results Numbers Shio Buffalo Happy Winning BatikPoker Togelgrabpools ")</f>
        <v xml:space="preserve">Grabpools Market Results Numbers Shio Buffalo Happy Winning BatikPoker Togelgrabpools </v>
      </c>
    </row>
    <row r="1443" spans="1:2" x14ac:dyDescent="0.2">
      <c r="A1443" s="1" t="s">
        <v>3046</v>
      </c>
      <c r="B1443" s="1" t="str">
        <f ca="1">IFERROR(__xludf.DUMFUNCTION("GOOGLETRANSLATE(A1496,""id"",""en"")"),"List of  Applications Read Info Gaes July BBM Limits SUBSIDI OPEN ENERGIZINGYOU ENERGIZINGYOURFUTURE")</f>
        <v>List of  Applications Read Info Gaes July BBM Limits SUBSIDI OPEN ENERGIZINGYOU ENERGIZINGYOURFUTURE</v>
      </c>
    </row>
    <row r="1444" spans="1:2" x14ac:dyDescent="0.2">
      <c r="A1444" s="1" t="s">
        <v>3543</v>
      </c>
      <c r="B1444" s="1" t="str">
        <f ca="1">IFERROR(__xludf.DUMFUNCTION("GOOGLETRANSLATE(A1497,""id"",""en"")"),"Bandung Residents Purchase Value Pertalite Solar Using the  Application")</f>
        <v>Bandung Residents Purchase Value Pertalite Solar Using the  Application</v>
      </c>
    </row>
    <row r="1445" spans="1:2" x14ac:dyDescent="0.2">
      <c r="A1445" s="1" t="s">
        <v>3544</v>
      </c>
      <c r="B1445" s="1" t="str">
        <f ca="1">IFERROR(__xludf.DUMFUNCTION("GOOGLETRANSLATE(A1498,""id"",""en"")"),"Guys App , how do I can't have the heart if you're complicated to buy gasoline")</f>
        <v>Guys App , how do I can't have the heart if you're complicated to buy gasoline</v>
      </c>
    </row>
    <row r="1446" spans="1:2" x14ac:dyDescent="0.2">
      <c r="A1446" s="1" t="s">
        <v>3545</v>
      </c>
      <c r="B1446" s="1" t="str">
        <f ca="1">IFERROR(__xludf.DUMFUNCTION("GOOGLETRANSLATE(A1499,""id"",""en"")"),"forced to use   applications Non -bad brain")</f>
        <v>forced to use   applications Non -bad brain</v>
      </c>
    </row>
    <row r="1447" spans="1:2" x14ac:dyDescent="0.2">
      <c r="A1447" s="1" t="s">
        <v>3546</v>
      </c>
      <c r="B1447" s="1" t="str">
        <f ca="1">IFERROR(__xludf.DUMFUNCTION("GOOGLETRANSLATE(A1500,""id"",""en"")"),"List of  tomorrow Buy Pertalite")</f>
        <v>List of  tomorrow Buy Pertalite</v>
      </c>
    </row>
    <row r="1448" spans="1:2" x14ac:dyDescent="0.2">
      <c r="A1448" s="1" t="s">
        <v>3547</v>
      </c>
      <c r="B1448" s="1" t="str">
        <f ca="1">IFERROR(__xludf.DUMFUNCTION("GOOGLETRANSLATE(A1501,""id"",""en"")"),"wisely buy fuel subsidized type of pertalite solar ")</f>
        <v xml:space="preserve">wisely buy fuel subsidized type of pertalite solar </v>
      </c>
    </row>
    <row r="1449" spans="1:2" x14ac:dyDescent="0.2">
      <c r="A1449" s="1" t="s">
        <v>3548</v>
      </c>
      <c r="B1449" s="1" t="str">
        <f ca="1">IFERROR(__xludf.DUMFUNCTION("GOOGLETRANSLATE(A1502,""id"",""en"")")," League")</f>
        <v xml:space="preserve"> League</v>
      </c>
    </row>
    <row r="1450" spans="1:2" x14ac:dyDescent="0.2">
      <c r="A1450" s="1" t="s">
        <v>3549</v>
      </c>
      <c r="B1450" s="1" t="str">
        <f ca="1">IFERROR(__xludf.DUMFUNCTION("GOOGLETRANSLATE(A1503,""id"",""en"")"),"going to poor people smart phones buy LPG kg using ")</f>
        <v xml:space="preserve">going to poor people smart phones buy LPG kg using </v>
      </c>
    </row>
    <row r="1451" spans="1:2" x14ac:dyDescent="0.2">
      <c r="A1451" s="1" t="s">
        <v>3550</v>
      </c>
      <c r="B1451" s="1" t="str">
        <f ca="1">IFERROR(__xludf.DUMFUNCTION("GOOGLETRANSLATE(A1504,""id"",""en"")")," Straight Congestion Wisely Buy Pertalite Must List One of the Mandatory Downloads ")</f>
        <v xml:space="preserve"> Straight Congestion Wisely Buy Pertalite Must List One of the Mandatory Downloads </v>
      </c>
    </row>
    <row r="1452" spans="1:2" x14ac:dyDescent="0.2">
      <c r="A1452" s="1" t="s">
        <v>3551</v>
      </c>
      <c r="B1452" s="1" t="str">
        <f ca="1">IFERROR(__xludf.DUMFUNCTION("GOOGLETRANSLATE(A1505,""id"",""en"")"),"Indo people have got a picture, how do I buy gasoline using , news tomorrow")</f>
        <v>Indo people have got a picture, how do I buy gasoline using , news tomorrow</v>
      </c>
    </row>
    <row r="1453" spans="1:2" x14ac:dyDescent="0.2">
      <c r="A1453" s="1" t="s">
        <v>3552</v>
      </c>
      <c r="B1453" s="1" t="str">
        <f ca="1">IFERROR(__xludf.DUMFUNCTION("GOOGLETRANSLATE(A1506,""id"",""en"")"),"not dibales also monitor, miss ")</f>
        <v xml:space="preserve">not dibales also monitor, miss </v>
      </c>
    </row>
    <row r="1454" spans="1:2" x14ac:dyDescent="0.2">
      <c r="A1454" s="1" t="s">
        <v>3553</v>
      </c>
      <c r="B1454" s="1" t="str">
        <f ca="1">IFERROR(__xludf.DUMFUNCTION("GOOGLETRANSLATE(A1507,""id"",""en"")"),"The country of peace org, the country, is validated by the londo era, makes  take care of the migger promise")</f>
        <v>The country of peace org, the country, is validated by the londo era, makes  take care of the migger promise</v>
      </c>
    </row>
    <row r="1455" spans="1:2" x14ac:dyDescent="0.2">
      <c r="A1455" s="1" t="s">
        <v>3440</v>
      </c>
      <c r="B1455" s="1" t="str">
        <f ca="1">IFERROR(__xludf.DUMFUNCTION("GOOGLETRANSLATE(A1508,""id"",""en"")"),"list of fuel subsidies for  car application")</f>
        <v>list of fuel subsidies for  car application</v>
      </c>
    </row>
    <row r="1456" spans="1:2" x14ac:dyDescent="0.2">
      <c r="A1456" s="1" t="s">
        <v>3554</v>
      </c>
      <c r="B1456" s="1" t="str">
        <f ca="1">IFERROR(__xludf.DUMFUNCTION("GOOGLETRANSLATE(A1509,""id"",""en"")")," Deception Application Reviewed Ugly")</f>
        <v xml:space="preserve"> Deception Application Reviewed Ugly</v>
      </c>
    </row>
    <row r="1457" spans="1:2" x14ac:dyDescent="0.2">
      <c r="A1457" s="1" t="s">
        <v>3555</v>
      </c>
      <c r="B1457" s="1" t="str">
        <f ca="1">IFERROR(__xludf.DUMFUNCTION("GOOGLETRANSLATE(A1510,""id"",""en"")"),"Difficult State  The application of Bobrok just loves to make it difficult for the people")</f>
        <v>Difficult State  The application of Bobrok just loves to make it difficult for the people</v>
      </c>
    </row>
    <row r="1458" spans="1:2" x14ac:dyDescent="0.2">
      <c r="A1458" s="1" t="s">
        <v>3556</v>
      </c>
      <c r="B1458" s="1" t="str">
        <f ca="1">IFERROR(__xludf.DUMFUNCTION("GOOGLETRANSLATE(A1511,""id"",""en"")"),"Yes, fill in Bengsin Kudu using  apps  app.")</f>
        <v>Yes, fill in Bengsin Kudu using  apps  app.</v>
      </c>
    </row>
    <row r="1459" spans="1:2" x14ac:dyDescent="0.2">
      <c r="A1459" s="1" t="s">
        <v>3557</v>
      </c>
      <c r="B1459" s="1" t="str">
        <f ca="1">IFERROR(__xludf.DUMFUNCTION("GOOGLETRANSLATE(A1512,""id"",""en"")"),"Cimahi gas using ")</f>
        <v xml:space="preserve">Cimahi gas using </v>
      </c>
    </row>
    <row r="1460" spans="1:2" x14ac:dyDescent="0.2">
      <c r="A1460" s="1" t="s">
        <v>3558</v>
      </c>
      <c r="B1460" s="1" t="str">
        <f ca="1">IFERROR(__xludf.DUMFUNCTION("GOOGLETRANSLATE(A1513,""id"",""en"")"),"gbsa open  mas")</f>
        <v>gbsa open  mas</v>
      </c>
    </row>
    <row r="1461" spans="1:2" x14ac:dyDescent="0.2">
      <c r="A1461" s="1" t="s">
        <v>3559</v>
      </c>
      <c r="B1461" s="1" t="str">
        <f ca="1">IFERROR(__xludf.DUMFUNCTION("GOOGLETRANSLATE(A1514,""id"",""en"")"),"Let's Support  so that the subsidy of the Salang Playing Mafia BBM")</f>
        <v>Let's Support  so that the subsidy of the Salang Playing Mafia BBM</v>
      </c>
    </row>
    <row r="1462" spans="1:2" x14ac:dyDescent="0.2">
      <c r="A1462" s="1" t="s">
        <v>3560</v>
      </c>
      <c r="B1462" s="1" t="str">
        <f ca="1">IFERROR(__xludf.DUMFUNCTION("GOOGLETRANSLATE(A1515,""id"",""en"")"),"Pertalite Buy LPG GAS Kg  Application")</f>
        <v>Pertalite Buy LPG GAS Kg  Application</v>
      </c>
    </row>
    <row r="1463" spans="1:2" x14ac:dyDescent="0.2">
      <c r="A1463" s="1" t="s">
        <v>3560</v>
      </c>
      <c r="B1463" s="1" t="str">
        <f ca="1">IFERROR(__xludf.DUMFUNCTION("GOOGLETRANSLATE(A1516,""id"",""en"")"),"Pertalite Buy LPG GAS Kg  Application")</f>
        <v>Pertalite Buy LPG GAS Kg  Application</v>
      </c>
    </row>
    <row r="1464" spans="1:2" x14ac:dyDescent="0.2">
      <c r="A1464" s="1" t="s">
        <v>3561</v>
      </c>
      <c r="B1464" s="1" t="str">
        <f ca="1">IFERROR(__xludf.DUMFUNCTION("GOOGLETRANSLATE(A1517,""id"",""en"")"),"I have used  from the gas station, the gas station is still not like if it rains the signal likes to crash, it can't use  or Halim, it's not a signal, it's not good yet, I haven't tried it yet")</f>
        <v>I have used  from the gas station, the gas station is still not like if it rains the signal likes to crash, it can't use  or Halim, it's not a signal, it's not good yet, I haven't tried it yet</v>
      </c>
    </row>
    <row r="1465" spans="1:2" x14ac:dyDescent="0.2">
      <c r="A1465" s="1" t="s">
        <v>966</v>
      </c>
      <c r="B1465" s="1" t="str">
        <f ca="1">IFERROR(__xludf.DUMFUNCTION("GOOGLETRANSLATE(A1518,""id"",""en"")"),"PT  Persero Alas Back to Change the Mandatory Pertalite Solar System")</f>
        <v>PT  Persero Alas Back to Change the Mandatory Pertalite Solar System</v>
      </c>
    </row>
    <row r="1466" spans="1:2" x14ac:dyDescent="0.2">
      <c r="A1466" s="1" t="s">
        <v>3562</v>
      </c>
      <c r="B1466" s="1" t="str">
        <f ca="1">IFERROR(__xludf.DUMFUNCTION("GOOGLETRANSLATE(A1519,""id"",""en"")"),"Mandatory command  love")</f>
        <v>Mandatory command  love</v>
      </c>
    </row>
    <row r="1467" spans="1:2" x14ac:dyDescent="0.2">
      <c r="A1467" s="1" t="s">
        <v>3563</v>
      </c>
      <c r="B1467" s="1" t="str">
        <f ca="1">IFERROR(__xludf.DUMFUNCTION("GOOGLETRANSLATE(A1520,""id"",""en"")"),"calm down not panic buying fuel subsidized solar pertalite via  socialization offline booth also every gas station does not understand there")</f>
        <v>calm down not panic buying fuel subsidized solar pertalite via  socialization offline booth also every gas station does not understand there</v>
      </c>
    </row>
    <row r="1468" spans="1:2" x14ac:dyDescent="0.2">
      <c r="A1468" s="1" t="s">
        <v>3564</v>
      </c>
      <c r="B1468" s="1" t="str">
        <f ca="1">IFERROR(__xludf.DUMFUNCTION("GOOGLETRANSLATE(A1521,""id"",""en"")"),"People are busy taking care of the way you want tomorrow to buy gasoline using  until I forget tomorrow I will enter Dzulhijah")</f>
        <v>People are busy taking care of the way you want tomorrow to buy gasoline using  until I forget tomorrow I will enter Dzulhijah</v>
      </c>
    </row>
    <row r="1469" spans="1:2" x14ac:dyDescent="0.2">
      <c r="A1469" s="1" t="s">
        <v>3565</v>
      </c>
      <c r="B1469" s="1" t="str">
        <f ca="1">IFERROR(__xludf.DUMFUNCTION("GOOGLETRANSLATE(A1522,""id"",""en"")"),"Proposed Hajj Ad application  is done all")</f>
        <v>Proposed Hajj Ad application  is done all</v>
      </c>
    </row>
    <row r="1470" spans="1:2" x14ac:dyDescent="0.2">
      <c r="A1470" s="1" t="s">
        <v>3566</v>
      </c>
      <c r="B1470" s="1" t="str">
        <f ca="1">IFERROR(__xludf.DUMFUNCTION("GOOGLETRANSLATE(A1523,""id"",""en"")"),"forgot to download  bsk times")</f>
        <v>forgot to download  bsk times</v>
      </c>
    </row>
    <row r="1471" spans="1:2" x14ac:dyDescent="0.2">
      <c r="A1471" s="1" t="s">
        <v>967</v>
      </c>
      <c r="B1471" s="1" t="str">
        <f ca="1">IFERROR(__xludf.DUMFUNCTION("GOOGLETRANSLATE(A1524,""id"",""en"")"),"The facts of the excitement to buy pertalite via  people urge to worry about the easy list of booth gas stations of offline consultation confused panic")</f>
        <v>The facts of the excitement to buy pertalite via  people urge to worry about the easy list of booth gas stations of offline consultation confused panic</v>
      </c>
    </row>
    <row r="1472" spans="1:2" x14ac:dyDescent="0.2">
      <c r="A1472" s="1" t="s">
        <v>3567</v>
      </c>
      <c r="B1472" s="1" t="str">
        <f ca="1">IFERROR(__xludf.DUMFUNCTION("GOOGLETRANSLATE(A1525,""id"",""en"")"),"Those who are looking for people who are difficult for ")</f>
        <v xml:space="preserve">Those who are looking for people who are difficult for </v>
      </c>
    </row>
    <row r="1473" spans="1:2" x14ac:dyDescent="0.2">
      <c r="A1473" s="1" t="s">
        <v>3485</v>
      </c>
      <c r="B1473" s="1" t="str">
        <f ca="1">IFERROR(__xludf.DUMFUNCTION("GOOGLETRANSLATE(A1526,""id"",""en"")"),"Buy Pertalite belonging to the Tempobusiness  application")</f>
        <v>Buy Pertalite belonging to the Tempobusiness  application</v>
      </c>
    </row>
    <row r="1474" spans="1:2" x14ac:dyDescent="0.2">
      <c r="A1474" s="1" t="s">
        <v>3466</v>
      </c>
      <c r="B1474" s="1" t="str">
        <f ca="1">IFERROR(__xludf.DUMFUNCTION("GOOGLETRANSLATE(A1527,""id"",""en"")")," is wrong with  subsidized fuel")</f>
        <v xml:space="preserve"> is wrong with  subsidized fuel</v>
      </c>
    </row>
    <row r="1475" spans="1:2" x14ac:dyDescent="0.2">
      <c r="A1475" s="1" t="s">
        <v>3554</v>
      </c>
      <c r="B1475" s="1" t="str">
        <f ca="1">IFERROR(__xludf.DUMFUNCTION("GOOGLETRANSLATE(A1528,""id"",""en"")")," Deception Application Reviewed Ugly")</f>
        <v xml:space="preserve"> Deception Application Reviewed Ugly</v>
      </c>
    </row>
    <row r="1476" spans="1:2" x14ac:dyDescent="0.2">
      <c r="A1476" s="1" t="s">
        <v>3538</v>
      </c>
      <c r="B1476" s="1" t="str">
        <f ca="1">IFERROR(__xludf.DUMFUNCTION("GOOGLETRANSLATE(A1529,""id"",""en"")"),"Sri Mulyani System Ready to   Subsidies LPG Sasar")</f>
        <v>Sri Mulyani System Ready to   Subsidies LPG Sasar</v>
      </c>
    </row>
    <row r="1477" spans="1:2" x14ac:dyDescent="0.2">
      <c r="A1477" s="1" t="s">
        <v>3568</v>
      </c>
      <c r="B1477" s="1" t="str">
        <f ca="1">IFERROR(__xludf.DUMFUNCTION("GOOGLETRANSLATE(A1530,""id"",""en"")"),"really goes to  protected community rights to subsidized fuel")</f>
        <v>really goes to  protected community rights to subsidized fuel</v>
      </c>
    </row>
    <row r="1478" spans="1:2" x14ac:dyDescent="0.2">
      <c r="A1478" s="1" t="s">
        <v>3569</v>
      </c>
      <c r="B1478" s="1" t="str">
        <f ca="1">IFERROR(__xludf.DUMFUNCTION("GOOGLETRANSLATE(A1531,""id"",""en"")"),"The issue of buying LPG Kg using   clarification")</f>
        <v>The issue of buying LPG Kg using   clarification</v>
      </c>
    </row>
    <row r="1479" spans="1:2" x14ac:dyDescent="0.2">
      <c r="A1479" s="1" t="s">
        <v>3570</v>
      </c>
      <c r="B1479" s="1" t="str">
        <f ca="1">IFERROR(__xludf.DUMFUNCTION("GOOGLETRANSLATE(A1532,""id"",""en"")"),"Link Download the  Application Easy Transaction Buy Gasoline")</f>
        <v>Link Download the  Application Easy Transaction Buy Gasoline</v>
      </c>
    </row>
    <row r="1480" spans="1:2" x14ac:dyDescent="0.2">
      <c r="A1480" s="1" t="s">
        <v>3571</v>
      </c>
      <c r="B1480" s="1" t="str">
        <f ca="1">IFERROR(__xludf.DUMFUNCTION("GOOGLETRANSLATE(A1533,""id"",""en"")"),"calm buy LPG kg list ")</f>
        <v xml:space="preserve">calm buy LPG kg list </v>
      </c>
    </row>
    <row r="1481" spans="1:2" x14ac:dyDescent="0.2">
      <c r="A1481" s="1" t="s">
        <v>3572</v>
      </c>
      <c r="B1481" s="1" t="str">
        <f ca="1">IFERROR(__xludf.DUMFUNCTION("GOOGLETRANSLATE(A1534,""id"",""en"")"),"link download the  application free buy solar subsidies pertalite")</f>
        <v>link download the  application free buy solar subsidies pertalite</v>
      </c>
    </row>
    <row r="1482" spans="1:2" x14ac:dyDescent="0.2">
      <c r="A1482" s="1" t="s">
        <v>3573</v>
      </c>
      <c r="B1482" s="1" t="str">
        <f ca="1">IFERROR(__xludf.DUMFUNCTION("GOOGLETRANSLATE(A1535,""id"",""en"")"),"open jockey  gas")</f>
        <v>open jockey  gas</v>
      </c>
    </row>
    <row r="1483" spans="1:2" x14ac:dyDescent="0.2">
      <c r="A1483" s="1" t="s">
        <v>3574</v>
      </c>
      <c r="B1483" s="1" t="str">
        <f ca="1">IFERROR(__xludf.DUMFUNCTION("GOOGLETRANSLATE(A1536,""id"",""en"")"),"Actually, if the millennials are okay, okay, let's give your parents to use  uwa if you update the application wa banging house, he works")</f>
        <v>Actually, if the millennials are okay, okay, let's give your parents to use  uwa if you update the application wa banging house, he works</v>
      </c>
    </row>
    <row r="1484" spans="1:2" x14ac:dyDescent="0.2">
      <c r="A1484" s="1" t="s">
        <v>3575</v>
      </c>
      <c r="B1484" s="1" t="str">
        <f ca="1">IFERROR(__xludf.DUMFUNCTION("GOOGLETRANSLATE(A1537,""id"",""en"")"),"FYI GT GT Simultaneously September Special Jawa Buy Pertalite Using  Simultaneously September Special Jawa")</f>
        <v>FYI GT GT Simultaneously September Special Jawa Buy Pertalite Using  Simultaneously September Special Jawa</v>
      </c>
    </row>
    <row r="1485" spans="1:2" x14ac:dyDescent="0.2">
      <c r="A1485" s="1" t="s">
        <v>3576</v>
      </c>
      <c r="B1485" s="1" t="str">
        <f ca="1">IFERROR(__xludf.DUMFUNCTION("GOOGLETRANSLATE(A1538,""id"",""en"")"),"Pertalite Buy LPG Kilogram List of  NATIONAL ALAS")</f>
        <v>Pertalite Buy LPG Kilogram List of  NATIONAL ALAS</v>
      </c>
    </row>
    <row r="1486" spans="1:2" x14ac:dyDescent="0.2">
      <c r="A1486" s="1" t="s">
        <v>3577</v>
      </c>
      <c r="B1486" s="1" t="str">
        <f ca="1">IFERROR(__xludf.DUMFUNCTION("GOOGLETRANSLATE(A1539,""id"",""en"")"),"Understanding the purpose of using the  application to buy subsidized BBM")</f>
        <v>Understanding the purpose of using the  application to buy subsidized BBM</v>
      </c>
    </row>
    <row r="1487" spans="1:2" x14ac:dyDescent="0.2">
      <c r="A1487" s="1" t="s">
        <v>3578</v>
      </c>
      <c r="B1487" s="1" t="str">
        <f ca="1">IFERROR(__xludf.DUMFUNCTION("GOOGLETRANSLATE(A1540,""id"",""en"")"),"Buy BBM SPBU Mandatory Use the  Application Blessing Bbm Ecer Trading")</f>
        <v>Buy BBM SPBU Mandatory Use the  Application Blessing Bbm Ecer Trading</v>
      </c>
    </row>
    <row r="1488" spans="1:2" x14ac:dyDescent="0.2">
      <c r="A1488" s="1" t="s">
        <v>3579</v>
      </c>
      <c r="B1488" s="1" t="str">
        <f ca="1">IFERROR(__xludf.DUMFUNCTION("GOOGLETRANSLATE(A1541,""id"",""en"")")," application owned by a private luxury motorbike if the contents of the subsidized fuel sometimes fill it until the full tank if you have a motorbike filling the subsidized bbm thousand not using the   jnck application")</f>
        <v xml:space="preserve"> application owned by a private luxury motorbike if the contents of the subsidized fuel sometimes fill it until the full tank if you have a motorbike filling the subsidized bbm thousand not using the   jnck application</v>
      </c>
    </row>
    <row r="1489" spans="1:2" x14ac:dyDescent="0.2">
      <c r="A1489" s="1" t="s">
        <v>3580</v>
      </c>
      <c r="B1489" s="1" t="str">
        <f ca="1">IFERROR(__xludf.DUMFUNCTION("GOOGLETRANSLATE(A1542,""id"",""en"")"),"PT  Persero Alas Back to Change the PERTALITE SOLAR SYSTEM MANDATORY TO LIST OF  WEBSITE")</f>
        <v>PT  Persero Alas Back to Change the PERTALITE SOLAR SYSTEM MANDATORY TO LIST OF  WEBSITE</v>
      </c>
    </row>
    <row r="1490" spans="1:2" x14ac:dyDescent="0.2">
      <c r="A1490" s="1" t="s">
        <v>3581</v>
      </c>
      <c r="B1490" s="1" t="str">
        <f ca="1">IFERROR(__xludf.DUMFUNCTION("GOOGLETRANSLATE(A1543,""id"",""en"")"),"DPR Fully Supports  Masif Socialization of ")</f>
        <v xml:space="preserve">DPR Fully Supports  Masif Socialization of </v>
      </c>
    </row>
    <row r="1491" spans="1:2" x14ac:dyDescent="0.2">
      <c r="A1491" s="1" t="s">
        <v>2458</v>
      </c>
      <c r="B1491" s="1" t="str">
        <f ca="1">IFERROR(__xludf.DUMFUNCTION("GOOGLETRANSLATE(A1544,""id"",""en"")"),"List of BBM subsidies for a special  website")</f>
        <v>List of BBM subsidies for a special  website</v>
      </c>
    </row>
    <row r="1492" spans="1:2" x14ac:dyDescent="0.2">
      <c r="A1492" s="1" t="s">
        <v>3582</v>
      </c>
      <c r="B1492" s="1" t="str">
        <f ca="1">IFERROR(__xludf.DUMFUNCTION("GOOGLETRANSLATE(A1545,""id"",""en"")"),"Buy Migor GT NIK Cares Protection Apps Buy Pertalite GT  Buy GT GT GT  Core Dr. Make complicated cm Unplug subsidies if the people are not complicated to buy the non -subsidized president")</f>
        <v>Buy Migor GT NIK Cares Protection Apps Buy Pertalite GT  Buy GT GT GT  Core Dr. Make complicated cm Unplug subsidies if the people are not complicated to buy the non -subsidized president</v>
      </c>
    </row>
    <row r="1493" spans="1:2" x14ac:dyDescent="0.2">
      <c r="A1493" s="1" t="s">
        <v>3583</v>
      </c>
      <c r="B1493" s="1" t="str">
        <f ca="1">IFERROR(__xludf.DUMFUNCTION("GOOGLETRANSLATE(A1546,""id"",""en"")"),"the area is required to buy a Solar PERTALITE SOLAR  APPLICATION")</f>
        <v>the area is required to buy a Solar PERTALITE SOLAR  APPLICATION</v>
      </c>
    </row>
    <row r="1494" spans="1:2" x14ac:dyDescent="0.2">
      <c r="A1494" s="1" t="s">
        <v>3584</v>
      </c>
      <c r="B1494" s="1" t="str">
        <f ca="1">IFERROR(__xludf.DUMFUNCTION("GOOGLETRANSLATE(A1547,""id"",""en"")"),"The DPR is great, fully supports the distribution of fair subsidized fuel via  to make it wrong")</f>
        <v>The DPR is great, fully supports the distribution of fair subsidized fuel via  to make it wrong</v>
      </c>
    </row>
    <row r="1495" spans="1:2" x14ac:dyDescent="0.2">
      <c r="A1495" s="1" t="s">
        <v>3585</v>
      </c>
      <c r="B1495" s="1" t="str">
        <f ca="1">IFERROR(__xludf.DUMFUNCTION("GOOGLETRANSLATE(A1548,""id"",""en"")"),"for your info guys guys Sasar July  Open the list of  websites")</f>
        <v>for your info guys guys Sasar July  Open the list of  websites</v>
      </c>
    </row>
    <row r="1496" spans="1:2" x14ac:dyDescent="0.2">
      <c r="A1496" s="1" t="s">
        <v>3586</v>
      </c>
      <c r="B1496" s="1" t="str">
        <f ca="1">IFERROR(__xludf.DUMFUNCTION("GOOGLETRANSLATE(A1549,""id"",""en"")"),"active HP gas station arises a scene of a scene of a wise hook order to buy a solar pertalite list of  applications")</f>
        <v>active HP gas station arises a scene of a scene of a wise hook order to buy a solar pertalite list of  applications</v>
      </c>
    </row>
    <row r="1497" spans="1:2" x14ac:dyDescent="0.2">
      <c r="A1497" s="1" t="s">
        <v>3587</v>
      </c>
      <c r="B1497" s="1" t="str">
        <f ca="1">IFERROR(__xludf.DUMFUNCTION("GOOGLETRANSLATE(A1550,""id"",""en"")")," appealed to the public to examine the data of the  Site BUY BBM Type of Pertalite Solar Road smoothly")</f>
        <v xml:space="preserve"> appealed to the public to examine the data of the  Site BUY BBM Type of Pertalite Solar Road smoothly</v>
      </c>
    </row>
    <row r="1498" spans="1:2" x14ac:dyDescent="0.2">
      <c r="A1498" s="1" t="s">
        <v>3588</v>
      </c>
      <c r="B1498" s="1" t="str">
        <f ca="1">IFERROR(__xludf.DUMFUNCTION("GOOGLETRANSLATE(A1551,""id"",""en"")"),"Come on list of Sasar July Subsidies  Open List of  Website")</f>
        <v>Come on list of Sasar July Subsidies  Open List of  Website</v>
      </c>
    </row>
    <row r="1499" spans="1:2" x14ac:dyDescent="0.2">
      <c r="A1499" s="1" t="s">
        <v>3589</v>
      </c>
      <c r="B1499" s="1" t="str">
        <f ca="1">IFERROR(__xludf.DUMFUNCTION("GOOGLETRANSLATE(A1552,""id"",""en"")"),"Info for  Lek")</f>
        <v>Info for  Lek</v>
      </c>
    </row>
    <row r="1500" spans="1:2" x14ac:dyDescent="0.2">
      <c r="A1500" s="1" t="s">
        <v>3590</v>
      </c>
      <c r="B1500" s="1" t="str">
        <f ca="1">IFERROR(__xludf.DUMFUNCTION("GOOGLETRANSLATE(A1553,""id"",""en"")"),"Already know the Sasar July Subsidy Bomb  Open the list of the  website directly list")</f>
        <v>Already know the Sasar July Subsidy Bomb  Open the list of the  website directly list</v>
      </c>
    </row>
    <row r="1501" spans="1:2" x14ac:dyDescent="0.2">
      <c r="A1501" s="1" t="s">
        <v>2854</v>
      </c>
      <c r="B1501" s="1" t="str">
        <f ca="1">IFERROR(__xludf.DUMFUNCTION("GOOGLETRANSLATE(A1554,""id"",""en"")"),"Sasar Salasi July  Open the list of  websites, it is really mandatory")</f>
        <v>Sasar Salasi July  Open the list of  websites, it is really mandatory</v>
      </c>
    </row>
    <row r="1502" spans="1:2" x14ac:dyDescent="0.2">
      <c r="A1502" s="1" t="s">
        <v>3591</v>
      </c>
      <c r="B1502" s="1" t="str">
        <f ca="1">IFERROR(__xludf.DUMFUNCTION("GOOGLETRANSLATE(A1555,""id"",""en"")")," Unlimited Cash Mod Apk")</f>
        <v xml:space="preserve"> Unlimited Cash Mod Apk</v>
      </c>
    </row>
    <row r="1503" spans="1:2" x14ac:dyDescent="0.2">
      <c r="A1503" s="1" t="s">
        <v>3592</v>
      </c>
      <c r="B1503" s="1" t="str">
        <f ca="1">IFERROR(__xludf.DUMFUNCTION("GOOGLETRANSLATE(A1556,""id"",""en"")"),"Actually using  apk, it's not easy, it's easy to just go first, just the order is already suudzon first, let's see the ending")</f>
        <v>Actually using  apk, it's not easy, it's easy to just go first, just the order is already suudzon first, let's see the ending</v>
      </c>
    </row>
    <row r="1504" spans="1:2" x14ac:dyDescent="0.2">
      <c r="A1504" s="1" t="s">
        <v>3593</v>
      </c>
      <c r="B1504" s="1" t="str">
        <f ca="1">IFERROR(__xludf.DUMFUNCTION("GOOGLETRANSLATE(A1557,""id"",""en"")"),"Mbahas Lek Kate Tuku Pertalite Kudu Installing ")</f>
        <v xml:space="preserve">Mbahas Lek Kate Tuku Pertalite Kudu Installing </v>
      </c>
    </row>
    <row r="1505" spans="1:2" x14ac:dyDescent="0.2">
      <c r="A1505" s="1" t="s">
        <v>3594</v>
      </c>
      <c r="B1505" s="1" t="str">
        <f ca="1">IFERROR(__xludf.DUMFUNCTION("GOOGLETRANSLATE(A1558,""id"",""en"")"),"What are you doing, the contents of the city, don't use ")</f>
        <v xml:space="preserve">What are you doing, the contents of the city, don't use </v>
      </c>
    </row>
    <row r="1506" spans="1:2" x14ac:dyDescent="0.2">
      <c r="A1506" s="1" t="s">
        <v>89</v>
      </c>
      <c r="B1506" s="1" t="str">
        <f ca="1">IFERROR(__xludf.DUMFUNCTION("GOOGLETRANSLATE(A1559,""id"",""en"")"),"Padang City Fighting Trial of Agam Regency, Tanah Datar Regency, Bandung City Sukabumi City")</f>
        <v>Padang City Fighting Trial of Agam Regency, Tanah Datar Regency, Bandung City Sukabumi City</v>
      </c>
    </row>
    <row r="1507" spans="1:2" x14ac:dyDescent="0.2">
      <c r="A1507" s="1" t="s">
        <v>3595</v>
      </c>
      <c r="B1507" s="1" t="str">
        <f ca="1">IFERROR(__xludf.DUMFUNCTION("GOOGLETRANSLATE(A1560,""id"",""en"")"),"Ama how the widow push the motorbike km km lowbat the lowbat application  application is disturbed by the child's server for the motorbike")</f>
        <v>Ama how the widow push the motorbike km km lowbat the lowbat application  application is disturbed by the child's server for the motorbike</v>
      </c>
    </row>
    <row r="1508" spans="1:2" x14ac:dyDescent="0.2">
      <c r="A1508" s="1" t="s">
        <v>3596</v>
      </c>
      <c r="B1508" s="1" t="str">
        <f ca="1">IFERROR(__xludf.DUMFUNCTION("GOOGLETRANSLATE(A1561,""id"",""en"")"),"Thanks to the work of netizens against stamp hard  bad review google play")</f>
        <v>Thanks to the work of netizens against stamp hard  bad review google play</v>
      </c>
    </row>
    <row r="1509" spans="1:2" x14ac:dyDescent="0.2">
      <c r="A1509" s="1" t="s">
        <v>959</v>
      </c>
      <c r="B1509" s="1" t="str">
        <f ca="1">IFERROR(__xludf.DUMFUNCTION("GOOGLETRANSLATE(A1562,""id"",""en"")"),"PT  Persero Reveals Pertalite Solar Consumption of Central Golong")</f>
        <v>PT  Persero Reveals Pertalite Solar Consumption of Central Golong</v>
      </c>
    </row>
    <row r="1510" spans="1:2" x14ac:dyDescent="0.2">
      <c r="A1510" s="1" t="s">
        <v>3597</v>
      </c>
      <c r="B1510" s="1" t="str">
        <f ca="1">IFERROR(__xludf.DUMFUNCTION("GOOGLETRANSLATE(A1563,""id"",""en"")")," Buy LPG Subsidies Mandatory to Use ")</f>
        <v xml:space="preserve"> Buy LPG Subsidies Mandatory to Use </v>
      </c>
    </row>
    <row r="1511" spans="1:2" x14ac:dyDescent="0.2">
      <c r="A1511" s="1" t="s">
        <v>3598</v>
      </c>
      <c r="B1511" s="1" t="str">
        <f ca="1">IFERROR(__xludf.DUMFUNCTION("GOOGLETRANSLATE(A1564,""id"",""en"")"),"List of  Application Loh Urbanreaders Click Link")</f>
        <v>List of  Application Loh Urbanreaders Click Link</v>
      </c>
    </row>
    <row r="1512" spans="1:2" x14ac:dyDescent="0.2">
      <c r="A1512" s="1" t="s">
        <v>3441</v>
      </c>
      <c r="B1512" s="1" t="str">
        <f ca="1">IFERROR(__xludf.DUMFUNCTION("GOOGLETRANSLATE(A1565,""id"",""en"")"),"great if the hand gin opens playstore install ")</f>
        <v xml:space="preserve">great if the hand gin opens playstore install </v>
      </c>
    </row>
    <row r="1513" spans="1:2" x14ac:dyDescent="0.2">
      <c r="A1513" s="1" t="s">
        <v>3599</v>
      </c>
      <c r="B1513" s="1" t="str">
        <f ca="1">IFERROR(__xludf.DUMFUNCTION("GOOGLETRANSLATE(A1566,""id"",""en"")"),"calm buy LPG kg list  idcorner")</f>
        <v>calm buy LPG kg list  idcorner</v>
      </c>
    </row>
    <row r="1514" spans="1:2" x14ac:dyDescent="0.2">
      <c r="A1514" s="1" t="s">
        <v>3600</v>
      </c>
      <c r="B1514" s="1" t="str">
        <f ca="1">IFERROR(__xludf.DUMFUNCTION("GOOGLETRANSLATE(A1567,""id"",""en"")"),"dog number already list  pdhl he please register")</f>
        <v>dog number already list  pdhl he please register</v>
      </c>
    </row>
    <row r="1515" spans="1:2" x14ac:dyDescent="0.2">
      <c r="A1515" s="1" t="s">
        <v>3601</v>
      </c>
      <c r="B1515" s="1" t="str">
        <f ca="1">IFERROR(__xludf.DUMFUNCTION("GOOGLETRANSLATE(A1568,""id"",""en"")"),"like a trial to buy gasoline type Pertalite solar subsidies  application is sold for")</f>
        <v>like a trial to buy gasoline type Pertalite solar subsidies  application is sold for</v>
      </c>
    </row>
    <row r="1516" spans="1:2" x14ac:dyDescent="0.2">
      <c r="A1516" s="1" t="s">
        <v>3602</v>
      </c>
      <c r="B1516" s="1" t="str">
        <f ca="1">IFERROR(__xludf.DUMFUNCTION("GOOGLETRANSLATE(A1569,""id"",""en"")"),"like a trial buying gasoline type of solar subsidies  application for behavior for motorcycle trials to buy gasoline types of solar behavior for private cars akap transport trucks")</f>
        <v>like a trial buying gasoline type of solar subsidies  application for behavior for motorcycle trials to buy gasoline types of solar behavior for private cars akap transport trucks</v>
      </c>
    </row>
    <row r="1517" spans="1:2" x14ac:dyDescent="0.2">
      <c r="A1517" s="1" t="s">
        <v>3603</v>
      </c>
      <c r="B1517" s="1" t="str">
        <f ca="1">IFERROR(__xludf.DUMFUNCTION("GOOGLETRANSLATE(A1570,""id"",""en"")")," Buy LPG SUBSIDI  SARIAGRI FIRST")</f>
        <v xml:space="preserve"> Buy LPG SUBSIDI  SARIAGRI FIRST</v>
      </c>
    </row>
    <row r="1518" spans="1:2" x14ac:dyDescent="0.2">
      <c r="A1518" s="1" t="s">
        <v>3604</v>
      </c>
      <c r="B1518" s="1" t="str">
        <f ca="1">IFERROR(__xludf.DUMFUNCTION("GOOGLETRANSLATE(A1571,""id"",""en"")"),"Download the  Google Play Apps Store application")</f>
        <v>Download the  Google Play Apps Store application</v>
      </c>
    </row>
    <row r="1519" spans="1:2" x14ac:dyDescent="0.2">
      <c r="A1519" s="1" t="s">
        <v>3605</v>
      </c>
      <c r="B1519" s="1" t="str">
        <f ca="1">IFERROR(__xludf.DUMFUNCTION("GOOGLETRANSLATE(A1572,""id"",""en"")"),"Tomorrow, buy pertalite using , imagine complicated, you have to take it when it rains when you use a raincoat, if you have a motorcycle seat, how about the bomb, how is it difficult")</f>
        <v>Tomorrow, buy pertalite using , imagine complicated, you have to take it when it rains when you use a raincoat, if you have a motorcycle seat, how about the bomb, how is it difficult</v>
      </c>
    </row>
    <row r="1520" spans="1:2" x14ac:dyDescent="0.2">
      <c r="A1520" s="1" t="s">
        <v>3606</v>
      </c>
      <c r="B1520" s="1" t="str">
        <f ca="1">IFERROR(__xludf.DUMFUNCTION("GOOGLETRANSLATE(A1573,""id"",""en"")"),"Gausa spreads the fear you spread hoax")</f>
        <v>Gausa spreads the fear you spread hoax</v>
      </c>
    </row>
    <row r="1521" spans="1:2" x14ac:dyDescent="0.2">
      <c r="A1521" s="1" t="s">
        <v>3063</v>
      </c>
      <c r="B1521" s="1" t="str">
        <f ca="1">IFERROR(__xludf.DUMFUNCTION("GOOGLETRANSLATE(A1574,""id"",""en"")"),"Pertalite Solar  People Buy Melon Gas Using  Application")</f>
        <v>Pertalite Solar  People Buy Melon Gas Using  Application</v>
      </c>
    </row>
    <row r="1522" spans="1:2" x14ac:dyDescent="0.2">
      <c r="A1522" s="1" t="s">
        <v>85</v>
      </c>
      <c r="B1522" s="1" t="str">
        <f ca="1">IFERROR(__xludf.DUMFUNCTION("GOOGLETRANSLATE(A1575,""id"",""en"")"),"info guys July BBM Limits Subsidized Open a Panic List")</f>
        <v>info guys July BBM Limits Subsidized Open a Panic List</v>
      </c>
    </row>
    <row r="1523" spans="1:2" x14ac:dyDescent="0.2">
      <c r="A1523" s="1" t="s">
        <v>3607</v>
      </c>
      <c r="B1523" s="1" t="str">
        <f ca="1">IFERROR(__xludf.DUMFUNCTION("GOOGLETRANSLATE(A1576,""id"",""en"")"),"really aimed at 's Step Distribution of  Digital Mechanisms")</f>
        <v>really aimed at 's Step Distribution of  Digital Mechanisms</v>
      </c>
    </row>
    <row r="1524" spans="1:2" x14ac:dyDescent="0.2">
      <c r="A1524" s="1" t="s">
        <v>3608</v>
      </c>
      <c r="B1524" s="1" t="str">
        <f ca="1">IFERROR(__xludf.DUMFUNCTION("GOOGLETRANSLATE(A1577,""id"",""en"")")," forgot if Indonesia")</f>
        <v xml:space="preserve"> forgot if Indonesia</v>
      </c>
    </row>
    <row r="1525" spans="1:2" x14ac:dyDescent="0.2">
      <c r="A1525" s="1" t="s">
        <v>3609</v>
      </c>
      <c r="B1525" s="1" t="str">
        <f ca="1">IFERROR(__xludf.DUMFUNCTION("GOOGLETRANSLATE(A1578,""id"",""en"")"),"Cukong Harvest ")</f>
        <v xml:space="preserve">Cukong Harvest </v>
      </c>
    </row>
    <row r="1526" spans="1:2" x14ac:dyDescent="0.2">
      <c r="A1526" s="1" t="s">
        <v>3610</v>
      </c>
      <c r="B1526" s="1" t="str">
        <f ca="1">IFERROR(__xludf.DUMFUNCTION("GOOGLETRANSLATE(A1579,""id"",""en"")"),"July  Selling Wisely Buy  Application Pertalite")</f>
        <v>July  Selling Wisely Buy  Application Pertalite</v>
      </c>
    </row>
    <row r="1527" spans="1:2" x14ac:dyDescent="0.2">
      <c r="A1527" s="1" t="s">
        <v>3611</v>
      </c>
      <c r="B1527" s="1" t="str">
        <f ca="1">IFERROR(__xludf.DUMFUNCTION("GOOGLETRANSLATE(A1580,""id"",""en"")"),"thread list of  applications")</f>
        <v>thread list of  applications</v>
      </c>
    </row>
    <row r="1528" spans="1:2" x14ac:dyDescent="0.2">
      <c r="A1528" s="1" t="s">
        <v>3612</v>
      </c>
      <c r="B1528" s="1" t="str">
        <f ca="1">IFERROR(__xludf.DUMFUNCTION("GOOGLETRANSLATE(A1581,""id"",""en"")"),"Investigate a gallon gas too using ")</f>
        <v xml:space="preserve">Investigate a gallon gas too using </v>
      </c>
    </row>
    <row r="1529" spans="1:2" x14ac:dyDescent="0.2">
      <c r="A1529" s="1" t="s">
        <v>3613</v>
      </c>
      <c r="B1529" s="1" t="str">
        <f ca="1">IFERROR(__xludf.DUMFUNCTION("GOOGLETRANSLATE(A1582,""id"",""en"")"),"mandatory list of  to buy pertalite car steering wheel")</f>
        <v>mandatory list of  to buy pertalite car steering wheel</v>
      </c>
    </row>
    <row r="1530" spans="1:2" x14ac:dyDescent="0.2">
      <c r="A1530" s="1" t="s">
        <v>3614</v>
      </c>
      <c r="B1530" s="1" t="str">
        <f ca="1">IFERROR(__xludf.DUMFUNCTION("GOOGLETRANSLATE(A1583,""id"",""en"")"),"like people eat news of filling BBM tomorrow using , the gas station is in the afternoon")</f>
        <v>like people eat news of filling BBM tomorrow using , the gas station is in the afternoon</v>
      </c>
    </row>
    <row r="1531" spans="1:2" x14ac:dyDescent="0.2">
      <c r="A1531" s="1" t="s">
        <v>3615</v>
      </c>
      <c r="B1531" s="1" t="str">
        <f ca="1">IFERROR(__xludf.DUMFUNCTION("GOOGLETRANSLATE(A1584,""id"",""en"")"),"see the  afternoon application rating now")</f>
        <v>see the  afternoon application rating now</v>
      </c>
    </row>
    <row r="1532" spans="1:2" x14ac:dyDescent="0.2">
      <c r="A1532" s="1" t="s">
        <v>3616</v>
      </c>
      <c r="B1532" s="1" t="str">
        <f ca="1">IFERROR(__xludf.DUMFUNCTION("GOOGLETRANSLATE(A1585,""id"",""en"")"),"honestly confused tbtb  gas station is gabowing, I just open  cellphone a little bang bang gorilla")</f>
        <v>honestly confused tbtb  gas station is gabowing, I just open  cellphone a little bang bang gorilla</v>
      </c>
    </row>
    <row r="1533" spans="1:2" x14ac:dyDescent="0.2">
      <c r="A1533" s="1" t="s">
        <v>3617</v>
      </c>
      <c r="B1533" s="1" t="str">
        <f ca="1">IFERROR(__xludf.DUMFUNCTION("GOOGLETRANSLATE(A1586,""id"",""en"")"),"buy fuel must use  check list")</f>
        <v>buy fuel must use  check list</v>
      </c>
    </row>
    <row r="1534" spans="1:2" x14ac:dyDescent="0.2">
      <c r="A1534" s="1" t="s">
        <v>3618</v>
      </c>
      <c r="B1534" s="1" t="str">
        <f ca="1">IFERROR(__xludf.DUMFUNCTION("GOOGLETRANSLATE(A1587,""id"",""en"")"),"great dehh DPR supports the  program benefits of the community, yes, gais")</f>
        <v>great dehh DPR supports the  program benefits of the community, yes, gais</v>
      </c>
    </row>
    <row r="1535" spans="1:2" x14ac:dyDescent="0.2">
      <c r="A1535" s="1" t="s">
        <v>3619</v>
      </c>
      <c r="B1535" s="1" t="str">
        <f ca="1">IFERROR(__xludf.DUMFUNCTION("GOOGLETRANSLATE(A1588,""id"",""en"")"),"If with , I can get a free pertalite, I can buy a cellphone, but by buying pertalite, you use money,  cellphone is better to sell the motorbike, it is set to the people, the people are lucknut")</f>
        <v>If with , I can get a free pertalite, I can buy a cellphone, but by buying pertalite, you use money,  cellphone is better to sell the motorbike, it is set to the people, the people are lucknut</v>
      </c>
    </row>
    <row r="1536" spans="1:2" x14ac:dyDescent="0.2">
      <c r="A1536" s="1" t="s">
        <v>3620</v>
      </c>
      <c r="B1536" s="1" t="str">
        <f ca="1">IFERROR(__xludf.DUMFUNCTION("GOOGLETRANSLATE(A1589,""id"",""en"")"),"already not complicated using the  application Suggestions Buy Esemka Esemka No Ribet Car")</f>
        <v>already not complicated using the  application Suggestions Buy Esemka Esemka No Ribet Car</v>
      </c>
    </row>
    <row r="1537" spans="1:2" x14ac:dyDescent="0.2">
      <c r="A1537" s="1" t="s">
        <v>3621</v>
      </c>
      <c r="B1537" s="1" t="str">
        <f ca="1">IFERROR(__xludf.DUMFUNCTION("GOOGLETRANSLATE(A1590,""id"",""en"")"),"Gais panicked, the limit of buying fuel subsidies yes  application")</f>
        <v>Gais panicked, the limit of buying fuel subsidies yes  application</v>
      </c>
    </row>
    <row r="1538" spans="1:2" x14ac:dyDescent="0.2">
      <c r="A1538" s="1" t="s">
        <v>3622</v>
      </c>
      <c r="B1538" s="1" t="str">
        <f ca="1">IFERROR(__xludf.DUMFUNCTION("GOOGLETRANSLATE(A1591,""id"",""en"")"),"Hi friends, Catika, you know, isn't it really crowded with the applications for  application")</f>
        <v>Hi friends, Catika, you know, isn't it really crowded with the applications for  application</v>
      </c>
    </row>
    <row r="1539" spans="1:2" x14ac:dyDescent="0.2">
      <c r="A1539" s="1" t="s">
        <v>3623</v>
      </c>
      <c r="B1539" s="1" t="str">
        <f ca="1">IFERROR(__xludf.DUMFUNCTION("GOOGLETRANSLATE(A1592,""id"",""en"")"),"many procontra dangers of mobile phones fill in  bbm cellphones according to of course safe location for amp for so how do this have downloaded ")</f>
        <v xml:space="preserve">many procontra dangers of mobile phones fill in  bbm cellphones according to of course safe location for amp for so how do this have downloaded </v>
      </c>
    </row>
    <row r="1540" spans="1:2" x14ac:dyDescent="0.2">
      <c r="A1540" s="1" t="s">
        <v>3624</v>
      </c>
      <c r="B1540" s="1" t="str">
        <f ca="1">IFERROR(__xludf.DUMFUNCTION("GOOGLETRANSLATE(A1593,""id"",""en"")"),"yes wise wise to be carried out by subsidized energy of the AMP sequin energy is not misused by Pertalite used by people when wise to sell  in accordance")</f>
        <v>yes wise wise to be carried out by subsidized energy of the AMP sequin energy is not misused by Pertalite used by people when wise to sell  in accordance</v>
      </c>
    </row>
    <row r="1541" spans="1:2" x14ac:dyDescent="0.2">
      <c r="A1541" s="1" t="s">
        <v>3625</v>
      </c>
      <c r="B1541" s="1" t="str">
        <f ca="1">IFERROR(__xludf.DUMFUNCTION("GOOGLETRANSLATE(A1594,""id"",""en"")"),"wise use of the  application, the consumer solar subsidized is in July, the trial application is conducted")</f>
        <v>wise use of the  application, the consumer solar subsidized is in July, the trial application is conducted</v>
      </c>
    </row>
    <row r="1542" spans="1:2" x14ac:dyDescent="0.2">
      <c r="A1542" s="1" t="s">
        <v>3622</v>
      </c>
      <c r="B1542" s="1" t="str">
        <f ca="1">IFERROR(__xludf.DUMFUNCTION("GOOGLETRANSLATE(A1595,""id"",""en"")"),"Hi friends, Catika, you know, isn't it really crowded with the applications for  application")</f>
        <v>Hi friends, Catika, you know, isn't it really crowded with the applications for  application</v>
      </c>
    </row>
    <row r="1543" spans="1:2" x14ac:dyDescent="0.2">
      <c r="A1543" s="1" t="s">
        <v>3626</v>
      </c>
      <c r="B1543" s="1" t="str">
        <f ca="1">IFERROR(__xludf.DUMFUNCTION("GOOGLETRANSLATE(A1596,""id"",""en"")"),"stamp difficult  rains")</f>
        <v>stamp difficult  rains</v>
      </c>
    </row>
    <row r="1544" spans="1:2" x14ac:dyDescent="0.2">
      <c r="A1544" s="1" t="s">
        <v>3627</v>
      </c>
      <c r="B1544" s="1" t="str">
        <f ca="1">IFERROR(__xludf.DUMFUNCTION("GOOGLETRANSLATE(A1597,""id"",""en"")"),"List of  Application Step")</f>
        <v>List of  Application Step</v>
      </c>
    </row>
    <row r="1545" spans="1:2" x14ac:dyDescent="0.2">
      <c r="A1545" s="1" t="s">
        <v>3256</v>
      </c>
      <c r="B1545" s="1" t="str">
        <f ca="1">IFERROR(__xludf.DUMFUNCTION("GOOGLETRANSLATE(A1598,""id"",""en"")"),"Wise Plan for Buying BBM Subsidies Pertalite Solar LPG KG CSWS July Application  Effective Value")</f>
        <v>Wise Plan for Buying BBM Subsidies Pertalite Solar LPG KG CSWS July Application  Effective Value</v>
      </c>
    </row>
    <row r="1546" spans="1:2" x14ac:dyDescent="0.2">
      <c r="A1546" s="1" t="s">
        <v>3628</v>
      </c>
      <c r="B1546" s="1" t="str">
        <f ca="1">IFERROR(__xludf.DUMFUNCTION("GOOGLETRANSLATE(A1599,""id"",""en"")")," Google Play Store Application Flood Star Review As a result of complaints of Agam")</f>
        <v xml:space="preserve"> Google Play Store Application Flood Star Review As a result of complaints of Agam</v>
      </c>
    </row>
    <row r="1547" spans="1:2" x14ac:dyDescent="0.2">
      <c r="A1547" s="1" t="s">
        <v>3629</v>
      </c>
      <c r="B1547" s="1" t="str">
        <f ca="1">IFERROR(__xludf.DUMFUNCTION("GOOGLETRANSLATE(A1600,""id"",""en"")"),"Download the list of  hp applications")</f>
        <v>Download the list of  hp applications</v>
      </c>
    </row>
    <row r="1548" spans="1:2" x14ac:dyDescent="0.2">
      <c r="A1548" s="1" t="s">
        <v>3630</v>
      </c>
      <c r="B1548" s="1" t="str">
        <f ca="1">IFERROR(__xludf.DUMFUNCTION("GOOGLETRANSLATE(A1601,""id"",""en"")"),"JULI FOR BBM BBM Subsidies Pertalite Solar Subsidies List of ")</f>
        <v xml:space="preserve">JULI FOR BBM BBM Subsidies Pertalite Solar Subsidies List of </v>
      </c>
    </row>
    <row r="1549" spans="1:2" x14ac:dyDescent="0.2">
      <c r="A1549" s="1" t="s">
        <v>3631</v>
      </c>
      <c r="B1549" s="1" t="str">
        <f ca="1">IFERROR(__xludf.DUMFUNCTION("GOOGLETRANSLATE(A1602,""id"",""en"")"),"the stupid who doesn't intend to be important SPA Hall sells stupid playing HP BSRCODE  SAME")</f>
        <v>the stupid who doesn't intend to be important SPA Hall sells stupid playing HP BSRCODE  SAME</v>
      </c>
    </row>
    <row r="1550" spans="1:2" x14ac:dyDescent="0.2">
      <c r="A1550" s="1" t="s">
        <v>968</v>
      </c>
      <c r="B1550" s="1" t="str">
        <f ca="1">IFERROR(__xludf.DUMFUNCTION("GOOGLETRANSLATE(A1603,""id"",""en"")"),"violate the rights of  citizens of the Legalisator Agency for of course those who buy BBM Subsidies  for Technical Agency for Salur BBM")</f>
        <v>violate the rights of  citizens of the Legalisator Agency for of course those who buy BBM Subsidies  for Technical Agency for Salur BBM</v>
      </c>
    </row>
    <row r="1551" spans="1:2" x14ac:dyDescent="0.2">
      <c r="A1551" s="1" t="s">
        <v>3632</v>
      </c>
      <c r="B1551" s="1" t="str">
        <f ca="1">IFERROR(__xludf.DUMFUNCTION("GOOGLETRANSLATE(A1604,""id"",""en"")"),"Pertamax already uses  practically using links to pay tracking the cost of fuel consumption months complicated Ken buy pertalite must use ")</f>
        <v xml:space="preserve">Pertamax already uses  practically using links to pay tracking the cost of fuel consumption months complicated Ken buy pertalite must use </v>
      </c>
    </row>
    <row r="1552" spans="1:2" x14ac:dyDescent="0.2">
      <c r="A1552" s="1" t="s">
        <v>969</v>
      </c>
      <c r="B1552" s="1" t="str">
        <f ca="1">IFERROR(__xludf.DUMFUNCTION("GOOGLETRANSLATE(A1605,""id"",""en"")")," is difficult for the people to buy fuel for public subsidies for fuel subsidized pills")</f>
        <v xml:space="preserve"> is difficult for the people to buy fuel for public subsidies for fuel subsidized pills</v>
      </c>
    </row>
    <row r="1553" spans="1:2" x14ac:dyDescent="0.2">
      <c r="A1553" s="1" t="s">
        <v>3508</v>
      </c>
      <c r="B1553" s="1" t="str">
        <f ca="1">IFERROR(__xludf.DUMFUNCTION("GOOGLETRANSLATE(A1606,""id"",""en"")"),"panicked the limit of buying fuel subsidies for  application")</f>
        <v>panicked the limit of buying fuel subsidies for  application</v>
      </c>
    </row>
    <row r="1554" spans="1:2" x14ac:dyDescent="0.2">
      <c r="A1554" s="1" t="s">
        <v>3090</v>
      </c>
      <c r="B1554" s="1" t="str">
        <f ca="1">IFERROR(__xludf.DUMFUNCTION("GOOGLETRANSLATE(A1607,""id"",""en"")"),"buy pertalite using the  application netizens to bother the people")</f>
        <v>buy pertalite using the  application netizens to bother the people</v>
      </c>
    </row>
    <row r="1555" spans="1:2" x14ac:dyDescent="0.2">
      <c r="A1555" s="1" t="s">
        <v>3633</v>
      </c>
      <c r="B1555" s="1" t="str">
        <f ca="1">IFERROR(__xludf.DUMFUNCTION("GOOGLETRANSLATE(A1608,""id"",""en"")"),"Subsidized BBM Via  Press the Field Bbm Intersection")</f>
        <v>Subsidized BBM Via  Press the Field Bbm Intersection</v>
      </c>
    </row>
    <row r="1556" spans="1:2" x14ac:dyDescent="0.2">
      <c r="A1556" s="1" t="s">
        <v>3634</v>
      </c>
      <c r="B1556" s="1" t="str">
        <f ca="1">IFERROR(__xludf.DUMFUNCTION("GOOGLETRANSLATE(A1609,""id"",""en"")"),"let's read guys so that the simple  is simple")</f>
        <v>let's read guys so that the simple  is simple</v>
      </c>
    </row>
    <row r="1557" spans="1:2" x14ac:dyDescent="0.2">
      <c r="A1557" s="1" t="s">
        <v>3635</v>
      </c>
      <c r="B1557" s="1" t="str">
        <f ca="1">IFERROR(__xludf.DUMFUNCTION("GOOGLETRANSLATE(A1610,""id"",""en"")"),"Hi sis, thank you link link, sorry, please try, sis, sis, the new version of the link linKaja  application is stable")</f>
        <v>Hi sis, thank you link link, sorry, please try, sis, sis, the new version of the link linKaja  application is stable</v>
      </c>
    </row>
    <row r="1558" spans="1:2" x14ac:dyDescent="0.2">
      <c r="A1558" s="1" t="s">
        <v>3636</v>
      </c>
      <c r="B1558" s="1" t="str">
        <f ca="1">IFERROR(__xludf.DUMFUNCTION("GOOGLETRANSLATE(A1611,""id"",""en"")"),"Yes, the people belonging to  Tanang, the assignment, the task of checking is worth buying subsidized fuel")</f>
        <v>Yes, the people belonging to  Tanang, the assignment, the task of checking is worth buying subsidized fuel</v>
      </c>
    </row>
    <row r="1559" spans="1:2" x14ac:dyDescent="0.2">
      <c r="A1559" s="1" t="s">
        <v>3637</v>
      </c>
      <c r="B1559" s="1" t="str">
        <f ca="1">IFERROR(__xludf.DUMFUNCTION("GOOGLETRANSLATE(A1612,""id"",""en"")"),"Download  Ngasi Bintang Rating")</f>
        <v>Download  Ngasi Bintang Rating</v>
      </c>
    </row>
    <row r="1560" spans="1:2" x14ac:dyDescent="0.2">
      <c r="A1560" s="1" t="s">
        <v>3638</v>
      </c>
      <c r="B1560" s="1" t="str">
        <f ca="1">IFERROR(__xludf.DUMFUNCTION("GOOGLETRANSLATE(A1613,""id"",""en"")"),"Min, we use the  app.")</f>
        <v>Min, we use the  app.</v>
      </c>
    </row>
    <row r="1561" spans="1:2" x14ac:dyDescent="0.2">
      <c r="A1561" s="1" t="s">
        <v>3639</v>
      </c>
      <c r="B1561" s="1" t="str">
        <f ca="1">IFERROR(__xludf.DUMFUNCTION("GOOGLETRANSLATE(A1614,""id"",""en"")"),"Imagine not a cellphone to buy gas stalls to be told because of the list of ")</f>
        <v xml:space="preserve">Imagine not a cellphone to buy gas stalls to be told because of the list of </v>
      </c>
    </row>
    <row r="1562" spans="1:2" x14ac:dyDescent="0.2">
      <c r="A1562" s="1" t="s">
        <v>3640</v>
      </c>
      <c r="B1562" s="1" t="str">
        <f ca="1">IFERROR(__xludf.DUMFUNCTION("GOOGLETRANSLATE(A1615,""id"",""en"")")," application limit buying solar ratings ratings")</f>
        <v xml:space="preserve"> application limit buying solar ratings ratings</v>
      </c>
    </row>
    <row r="1563" spans="1:2" x14ac:dyDescent="0.2">
      <c r="A1563" s="1" t="s">
        <v>3641</v>
      </c>
      <c r="B1563" s="1" t="str">
        <f ca="1">IFERROR(__xludf.DUMFUNCTION("GOOGLETRANSLATE(A1616,""id"",""en"")"),"Apps  Present Mager gas station branches Calculate gasoline data, how the apps are monitoring gasoline solutions that work on the people")</f>
        <v>Apps  Present Mager gas station branches Calculate gasoline data, how the apps are monitoring gasoline solutions that work on the people</v>
      </c>
    </row>
    <row r="1564" spans="1:2" x14ac:dyDescent="0.2">
      <c r="A1564" s="1" t="s">
        <v>3642</v>
      </c>
      <c r="B1564" s="1" t="str">
        <f ca="1">IFERROR(__xludf.DUMFUNCTION("GOOGLETRANSLATE(A1617,""id"",""en"")"),"Eating Grabbike gofood ngojek is supplied by Gocar Shopetoped Shopping Gasoline  owes ci")</f>
        <v>Eating Grabbike gofood ngojek is supplied by Gocar Shopetoped Shopping Gasoline  owes ci</v>
      </c>
    </row>
    <row r="1565" spans="1:2" x14ac:dyDescent="0.2">
      <c r="A1565" s="1" t="s">
        <v>3643</v>
      </c>
      <c r="B1565" s="1" t="str">
        <f ca="1">IFERROR(__xludf.DUMFUNCTION("GOOGLETRANSLATE(A1618,""id"",""en"")"),"Buy BBM  BBM Subsidies Verification of DTKS Data Ministry")</f>
        <v>Buy BBM  BBM Subsidies Verification of DTKS Data Ministry</v>
      </c>
    </row>
    <row r="1566" spans="1:2" x14ac:dyDescent="0.2">
      <c r="A1566" s="1" t="s">
        <v>3644</v>
      </c>
      <c r="B1566" s="1" t="str">
        <f ca="1">IFERROR(__xludf.DUMFUNCTION("GOOGLETRANSLATE(A1619,""id"",""en"")"),"like a list of fuel subsidized uses open July, please July, the list of the list of the border, buy, the consumer of the  application, the list stage via the website")</f>
        <v>like a list of fuel subsidized uses open July, please July, the list of the list of the border, buy, the consumer of the  application, the list stage via the website</v>
      </c>
    </row>
    <row r="1567" spans="1:2" x14ac:dyDescent="0.2">
      <c r="A1567" s="1" t="s">
        <v>3645</v>
      </c>
      <c r="B1567" s="1" t="str">
        <f ca="1">IFERROR(__xludf.DUMFUNCTION("GOOGLETRANSLATE(A1620,""id"",""en"")"),"Buy Pertalite Solar Using  Eits Wrong Let's Read Let's Check Complete Facts Commitment to 's Commitment Like the task of the subsidized BBM Salur which is the right to register for the vehicle, friend")</f>
        <v>Buy Pertalite Solar Using  Eits Wrong Let's Read Let's Check Complete Facts Commitment to 's Commitment Like the task of the subsidized BBM Salur which is the right to register for the vehicle, friend</v>
      </c>
    </row>
    <row r="1568" spans="1:2" x14ac:dyDescent="0.2">
      <c r="A1568" s="1" t="s">
        <v>3646</v>
      </c>
      <c r="B1568" s="1" t="str">
        <f ca="1">IFERROR(__xludf.DUMFUNCTION("GOOGLETRANSLATE(A1621,""id"",""en"")"),"Those who set using  protected etc.")</f>
        <v>Those who set using  protected etc.</v>
      </c>
    </row>
    <row r="1569" spans="1:2" x14ac:dyDescent="0.2">
      <c r="A1569" s="1" t="s">
        <v>3647</v>
      </c>
      <c r="B1569" s="1" t="str">
        <f ca="1">IFERROR(__xludf.DUMFUNCTION("GOOGLETRANSLATE(A1622,""id"",""en"")"),"gais if  access fuel contents list websites")</f>
        <v>gais if  access fuel contents list websites</v>
      </c>
    </row>
    <row r="1570" spans="1:2" x14ac:dyDescent="0.2">
      <c r="A1570" s="1" t="s">
        <v>3648</v>
      </c>
      <c r="B1570" s="1" t="str">
        <f ca="1">IFERROR(__xludf.DUMFUNCTION("GOOGLETRANSLATE(A1623,""id"",""en"")")," application limit buying solar rating star use")</f>
        <v xml:space="preserve"> application limit buying solar rating star use</v>
      </c>
    </row>
    <row r="1571" spans="1:2" x14ac:dyDescent="0.2">
      <c r="A1571" s="1" t="s">
        <v>3046</v>
      </c>
      <c r="B1571" s="1" t="str">
        <f ca="1">IFERROR(__xludf.DUMFUNCTION("GOOGLETRANSLATE(A1624,""id"",""en"")"),"List of  Applications Read Info Gaes July BBM Limits SUBSIDI OPEN ENERGIZINGYOU ENERGIZINGYOURFUTURE")</f>
        <v>List of  Applications Read Info Gaes July BBM Limits SUBSIDI OPEN ENERGIZINGYOU ENERGIZINGYOURFUTURE</v>
      </c>
    </row>
    <row r="1572" spans="1:2" x14ac:dyDescent="0.2">
      <c r="A1572" s="1" t="s">
        <v>3649</v>
      </c>
      <c r="B1572" s="1" t="str">
        <f ca="1">IFERROR(__xludf.DUMFUNCTION("GOOGLETRANSLATE(A1625,""id"",""en"")")," Pertalite Solar YG HP old school looking for money to buy an android phone buy a solar pertalite")</f>
        <v xml:space="preserve"> Pertalite Solar YG HP old school looking for money to buy an android phone buy a solar pertalite</v>
      </c>
    </row>
    <row r="1573" spans="1:2" x14ac:dyDescent="0.2">
      <c r="A1573" s="1" t="s">
        <v>3046</v>
      </c>
      <c r="B1573" s="1" t="str">
        <f ca="1">IFERROR(__xludf.DUMFUNCTION("GOOGLETRANSLATE(A1626,""id"",""en"")"),"List of  Applications Read Info Gaes July BBM Limits SUBSIDI OPEN ENERGIZINGYOU ENERGIZINGYOURFUTURE")</f>
        <v>List of  Applications Read Info Gaes July BBM Limits SUBSIDI OPEN ENERGIZINGYOU ENERGIZINGYOURFUTURE</v>
      </c>
    </row>
    <row r="1574" spans="1:2" x14ac:dyDescent="0.2">
      <c r="A1574" s="1" t="s">
        <v>3650</v>
      </c>
      <c r="B1574" s="1" t="str">
        <f ca="1">IFERROR(__xludf.DUMFUNCTION("GOOGLETRANSLATE(A1627,""id"",""en"")"),"must use , try to get the app.")</f>
        <v>must use , try to get the app.</v>
      </c>
    </row>
    <row r="1575" spans="1:2" x14ac:dyDescent="0.2">
      <c r="A1575" s="1" t="s">
        <v>3046</v>
      </c>
      <c r="B1575" s="1" t="str">
        <f ca="1">IFERROR(__xludf.DUMFUNCTION("GOOGLETRANSLATE(A1628,""id"",""en"")"),"List of  Applications Read Info Gaes July BBM Limits SUBSIDI OPEN ENERGIZINGYOU ENERGIZINGYOURFUTURE")</f>
        <v>List of  Applications Read Info Gaes July BBM Limits SUBSIDI OPEN ENERGIZINGYOU ENERGIZINGYOURFUTURE</v>
      </c>
    </row>
    <row r="1576" spans="1:2" x14ac:dyDescent="0.2">
      <c r="A1576" s="1" t="s">
        <v>90</v>
      </c>
      <c r="B1576" s="1" t="str">
        <f ca="1">IFERROR(__xludf.DUMFUNCTION("GOOGLETRANSLATE(A1629,""id"",""en"")"),"Teach the wrong command to get out of the new move of cons control")</f>
        <v>Teach the wrong command to get out of the new move of cons control</v>
      </c>
    </row>
    <row r="1577" spans="1:2" x14ac:dyDescent="0.2">
      <c r="A1577" s="1" t="s">
        <v>3651</v>
      </c>
      <c r="B1577" s="1" t="str">
        <f ca="1">IFERROR(__xludf.DUMFUNCTION("GOOGLETRANSLATE(A1630,""id"",""en"")"),"'s explosive art")</f>
        <v>'s explosive art</v>
      </c>
    </row>
    <row r="1578" spans="1:2" x14ac:dyDescent="0.2">
      <c r="A1578" s="1" t="s">
        <v>3530</v>
      </c>
      <c r="B1578" s="1" t="str">
        <f ca="1">IFERROR(__xludf.DUMFUNCTION("GOOGLETRANSLATE(A1631,""id"",""en"")")," Google Play Store Application Floods Star Review As a result of complaints of Agam Use")</f>
        <v xml:space="preserve"> Google Play Store Application Floods Star Review As a result of complaints of Agam Use</v>
      </c>
    </row>
    <row r="1579" spans="1:2" x14ac:dyDescent="0.2">
      <c r="A1579" s="1" t="s">
        <v>3652</v>
      </c>
      <c r="B1579" s="1" t="str">
        <f ca="1">IFERROR(__xludf.DUMFUNCTION("GOOGLETRANSLATE(A1632,""id"",""en"")"),"Info on the Regional Friends of the Laku Buy Solar Pertalite  Application July Buy and Sell BBM Subsidies Dar Pagi BBM Subsidy SPBU Empty Area")</f>
        <v>Info on the Regional Friends of the Laku Buy Solar Pertalite  Application July Buy and Sell BBM Subsidies Dar Pagi BBM Subsidy SPBU Empty Area</v>
      </c>
    </row>
    <row r="1580" spans="1:2" x14ac:dyDescent="0.2">
      <c r="A1580" s="1" t="s">
        <v>3653</v>
      </c>
      <c r="B1580" s="1" t="str">
        <f ca="1">IFERROR(__xludf.DUMFUNCTION("GOOGLETRANSLATE(A1633,""id"",""en"")"),"not worried about what I don't apk  pay cash guys")</f>
        <v>not worried about what I don't apk  pay cash guys</v>
      </c>
    </row>
    <row r="1581" spans="1:2" x14ac:dyDescent="0.2">
      <c r="A1581" s="1" t="s">
        <v>3654</v>
      </c>
      <c r="B1581" s="1" t="str">
        <f ca="1">IFERROR(__xludf.DUMFUNCTION("GOOGLETRANSLATE(A1634,""id"",""en"")")," Claims  Qr Code for Fuel Fupping BBM")</f>
        <v xml:space="preserve"> Claims  Qr Code for Fuel Fupping BBM</v>
      </c>
    </row>
    <row r="1582" spans="1:2" x14ac:dyDescent="0.2">
      <c r="A1582" s="1" t="s">
        <v>3655</v>
      </c>
      <c r="B1582" s="1" t="str">
        <f ca="1">IFERROR(__xludf.DUMFUNCTION("GOOGLETRANSLATE(A1635,""id"",""en"")"),"Criteria Receive social assistance Criteria Receive subsidized gas Criteria Receive BBM Subsidies Criteria Receive Migor Core Bulk People Difficult to make Jokowi's Card Not Sakti Sakti Moncertamina Application KTP Pedulilatot")</f>
        <v>Criteria Receive social assistance Criteria Receive subsidized gas Criteria Receive BBM Subsidies Criteria Receive Migor Core Bulk People Difficult to make Jokowi's Card Not Sakti Sakti Moncertamina Application KTP Pedulilatot</v>
      </c>
    </row>
    <row r="1583" spans="1:2" x14ac:dyDescent="0.2">
      <c r="A1583" s="1" t="s">
        <v>959</v>
      </c>
      <c r="B1583" s="1" t="str">
        <f ca="1">IFERROR(__xludf.DUMFUNCTION("GOOGLETRANSLATE(A1636,""id"",""en"")"),"PT  Persero Reveals Pertalite Solar Consumption of Central Golong")</f>
        <v>PT  Persero Reveals Pertalite Solar Consumption of Central Golong</v>
      </c>
    </row>
    <row r="1584" spans="1:2" x14ac:dyDescent="0.2">
      <c r="A1584" s="1" t="s">
        <v>3656</v>
      </c>
      <c r="B1584" s="1" t="str">
        <f ca="1">IFERROR(__xludf.DUMFUNCTION("GOOGLETRANSLATE(A1637,""id"",""en"")"),"Tomorrow Buy Premium Using the  Kendara Roda Application")</f>
        <v>Tomorrow Buy Premium Using the  Kendara Roda Application</v>
      </c>
    </row>
    <row r="1585" spans="1:2" x14ac:dyDescent="0.2">
      <c r="A1585" s="1" t="s">
        <v>3657</v>
      </c>
      <c r="B1585" s="1" t="str">
        <f ca="1">IFERROR(__xludf.DUMFUNCTION("GOOGLETRANSLATE(A1638,""id"",""en"")"),"Valid sis, not sad to see that I have been researching with  evaluation from the past")</f>
        <v>Valid sis, not sad to see that I have been researching with  evaluation from the past</v>
      </c>
    </row>
    <row r="1586" spans="1:2" x14ac:dyDescent="0.2">
      <c r="A1586" s="1" t="s">
        <v>3626</v>
      </c>
      <c r="B1586" s="1" t="str">
        <f ca="1">IFERROR(__xludf.DUMFUNCTION("GOOGLETRANSLATE(A1639,""id"",""en"")"),"stamp difficult  rains")</f>
        <v>stamp difficult  rains</v>
      </c>
    </row>
    <row r="1587" spans="1:2" x14ac:dyDescent="0.2">
      <c r="A1587" s="1" t="s">
        <v>3658</v>
      </c>
      <c r="B1587" s="1" t="str">
        <f ca="1">IFERROR(__xludf.DUMFUNCTION("GOOGLETRANSLATE(A1640,""id"",""en"")"),"The ones who apk  just calm down Nisa pay cash")</f>
        <v>The ones who apk  just calm down Nisa pay cash</v>
      </c>
    </row>
    <row r="1588" spans="1:2" x14ac:dyDescent="0.2">
      <c r="A1588" s="1" t="s">
        <v>3659</v>
      </c>
      <c r="B1588" s="1" t="str">
        <f ca="1">IFERROR(__xludf.DUMFUNCTION("GOOGLETRANSLATE(A1641,""id"",""en"")"),"End of Tomorrow Use ")</f>
        <v xml:space="preserve">End of Tomorrow Use </v>
      </c>
    </row>
    <row r="1589" spans="1:2" x14ac:dyDescent="0.2">
      <c r="A1589" s="1" t="s">
        <v>3660</v>
      </c>
      <c r="B1589" s="1" t="str">
        <f ca="1">IFERROR(__xludf.DUMFUNCTION("GOOGLETRANSLATE(A1642,""id"",""en"")")," cellphone ram has refused the  application")</f>
        <v xml:space="preserve"> cellphone ram has refused the  application</v>
      </c>
    </row>
    <row r="1590" spans="1:2" x14ac:dyDescent="0.2">
      <c r="A1590" s="1" t="s">
        <v>91</v>
      </c>
      <c r="B1590" s="1" t="str">
        <f ca="1">IFERROR(__xludf.DUMFUNCTION("GOOGLETRANSLATE(A1643,""id"",""en"")"),"just not just set the wheel not to buy a simple pertalite")</f>
        <v>just not just set the wheel not to buy a simple pertalite</v>
      </c>
    </row>
    <row r="1591" spans="1:2" x14ac:dyDescent="0.2">
      <c r="A1591" s="1" t="s">
        <v>3661</v>
      </c>
      <c r="B1591" s="1" t="str">
        <f ca="1">IFERROR(__xludf.DUMFUNCTION("GOOGLETRANSLATE(A1644,""id"",""en"")"),"Record the Mandatory Roda Kendara list ")</f>
        <v xml:space="preserve">Record the Mandatory Roda Kendara list </v>
      </c>
    </row>
    <row r="1592" spans="1:2" x14ac:dyDescent="0.2">
      <c r="A1592" s="1" t="s">
        <v>3662</v>
      </c>
      <c r="B1592" s="1" t="str">
        <f ca="1">IFERROR(__xludf.DUMFUNCTION("GOOGLETRANSLATE(A1645,""id"",""en"")"),"List of  Hp Buy Pertalite SPBU")</f>
        <v>List of  Hp Buy Pertalite SPBU</v>
      </c>
    </row>
    <row r="1593" spans="1:2" x14ac:dyDescent="0.2">
      <c r="A1593" s="1" t="s">
        <v>3663</v>
      </c>
      <c r="B1593" s="1" t="str">
        <f ca="1">IFERROR(__xludf.DUMFUNCTION("GOOGLETRANSLATE(A1646,""id"",""en"")"),"ask the cinambo gas station using  just a motorbike")</f>
        <v>ask the cinambo gas station using  just a motorbike</v>
      </c>
    </row>
    <row r="1594" spans="1:2" x14ac:dyDescent="0.2">
      <c r="A1594" s="1" t="s">
        <v>3664</v>
      </c>
      <c r="B1594" s="1" t="str">
        <f ca="1">IFERROR(__xludf.DUMFUNCTION("GOOGLETRANSLATE(A1647,""id"",""en"")"),"Pay using cash, just calm apk  list of love qr special code that is printed buy")</f>
        <v>Pay using cash, just calm apk  list of love qr special code that is printed buy</v>
      </c>
    </row>
    <row r="1595" spans="1:2" x14ac:dyDescent="0.2">
      <c r="A1595" s="1" t="s">
        <v>3665</v>
      </c>
      <c r="B1595" s="1" t="str">
        <f ca="1">IFERROR(__xludf.DUMFUNCTION("GOOGLETRANSLATE(A1648,""id"",""en"")"),"Use QR Code  Prevent Solar Pertalite Stock")</f>
        <v>Use QR Code  Prevent Solar Pertalite Stock</v>
      </c>
    </row>
    <row r="1596" spans="1:2" x14ac:dyDescent="0.2">
      <c r="A1596" s="1" t="s">
        <v>3666</v>
      </c>
      <c r="B1596" s="1" t="str">
        <f ca="1">IFERROR(__xludf.DUMFUNCTION("GOOGLETRANSLATE(A1649,""id"",""en"")"),"Install ")</f>
        <v xml:space="preserve">Install </v>
      </c>
    </row>
    <row r="1597" spans="1:2" x14ac:dyDescent="0.2">
      <c r="A1597" s="1" t="s">
        <v>3667</v>
      </c>
      <c r="B1597" s="1" t="str">
        <f ca="1">IFERROR(__xludf.DUMFUNCTION("GOOGLETRANSLATE(A1650,""id"",""en"")"),"Solution to Buy Bengsin ")</f>
        <v xml:space="preserve">Solution to Buy Bengsin </v>
      </c>
    </row>
    <row r="1598" spans="1:2" x14ac:dyDescent="0.2">
      <c r="A1598" s="1" t="s">
        <v>3596</v>
      </c>
      <c r="B1598" s="1" t="str">
        <f ca="1">IFERROR(__xludf.DUMFUNCTION("GOOGLETRANSLATE(A1651,""id"",""en"")"),"Thanks to the work of netizens against stamp hard  bad review google play")</f>
        <v>Thanks to the work of netizens against stamp hard  bad review google play</v>
      </c>
    </row>
    <row r="1599" spans="1:2" x14ac:dyDescent="0.2">
      <c r="A1599" s="1" t="s">
        <v>3668</v>
      </c>
      <c r="B1599" s="1" t="str">
        <f ca="1">IFERROR(__xludf.DUMFUNCTION("GOOGLETRANSLATE(A1652,""id"",""en"")"),"really gaes gaes  doesn't use a cellphone buy bbm using a printout qr")</f>
        <v>really gaes gaes  doesn't use a cellphone buy bbm using a printout qr</v>
      </c>
    </row>
    <row r="1600" spans="1:2" x14ac:dyDescent="0.2">
      <c r="A1600" s="1" t="s">
        <v>3669</v>
      </c>
      <c r="B1600" s="1" t="str">
        <f ca="1">IFERROR(__xludf.DUMFUNCTION("GOOGLETRANSLATE(A1653,""id"",""en"")"),"this is when you practice buying or not, the cellphone is not ")</f>
        <v xml:space="preserve">this is when you practice buying or not, the cellphone is not </v>
      </c>
    </row>
    <row r="1601" spans="1:2" x14ac:dyDescent="0.2">
      <c r="A1601" s="1" t="s">
        <v>3670</v>
      </c>
      <c r="B1601" s="1" t="str">
        <f ca="1">IFERROR(__xludf.DUMFUNCTION("GOOGLETRANSLATE(A1655,""id"",""en"")"),"Sasar gaes lwt  has regulated the year solar first")</f>
        <v>Sasar gaes lwt  has regulated the year solar first</v>
      </c>
    </row>
    <row r="1602" spans="1:2" x14ac:dyDescent="0.2">
      <c r="A1602" s="1" t="s">
        <v>970</v>
      </c>
      <c r="B1602" s="1" t="str">
        <f ca="1">IFERROR(__xludf.DUMFUNCTION("GOOGLETRANSLATE(A1656,""id"",""en"")")," already calm down on July the province just absorbs offline booth bkl")</f>
        <v xml:space="preserve"> already calm down on July the province just absorbs offline booth bkl</v>
      </c>
    </row>
    <row r="1603" spans="1:2" x14ac:dyDescent="0.2">
      <c r="A1603" s="1" t="s">
        <v>3671</v>
      </c>
      <c r="B1603" s="1" t="str">
        <f ca="1">IFERROR(__xludf.DUMFUNCTION("GOOGLETRANSLATE(A1657,""id"",""en"")"),"Let's read guys so that Erti  is not as complicated as")</f>
        <v>Let's read guys so that Erti  is not as complicated as</v>
      </c>
    </row>
    <row r="1604" spans="1:2" x14ac:dyDescent="0.2">
      <c r="A1604" s="1" t="s">
        <v>92</v>
      </c>
      <c r="B1604" s="1" t="str">
        <f ca="1">IFERROR(__xludf.DUMFUNCTION("GOOGLETRANSLATE(A1658,""id"",""en"")"),"reject")</f>
        <v>reject</v>
      </c>
    </row>
    <row r="1605" spans="1:2" x14ac:dyDescent="0.2">
      <c r="A1605" s="1" t="s">
        <v>3672</v>
      </c>
      <c r="B1605" s="1" t="str">
        <f ca="1">IFERROR(__xludf.DUMFUNCTION("GOOGLETRANSLATE(A1659,""id"",""en"")"),"Buy LPG Kg Gas Mandatory Use  Laku Application")</f>
        <v>Buy LPG Kg Gas Mandatory Use  Laku Application</v>
      </c>
    </row>
    <row r="1606" spans="1:2" x14ac:dyDescent="0.2">
      <c r="A1606" s="1" t="s">
        <v>3673</v>
      </c>
      <c r="B1606" s="1" t="str">
        <f ca="1">IFERROR(__xludf.DUMFUNCTION("GOOGLETRANSLATE(A1660,""id"",""en"")"),"July Buy Biosolar Pertalite BBM Using the  Application List")</f>
        <v>July Buy Biosolar Pertalite BBM Using the  Application List</v>
      </c>
    </row>
    <row r="1607" spans="1:2" x14ac:dyDescent="0.2">
      <c r="A1607" s="1" t="s">
        <v>2733</v>
      </c>
      <c r="B1607" s="1" t="str">
        <f ca="1">IFERROR(__xludf.DUMFUNCTION("GOOGLETRANSLATE(A1661,""id"",""en"")"),"the fact of turning  read the scattered gaes")</f>
        <v>the fact of turning  read the scattered gaes</v>
      </c>
    </row>
    <row r="1608" spans="1:2" x14ac:dyDescent="0.2">
      <c r="A1608" s="1" t="s">
        <v>3674</v>
      </c>
      <c r="B1608" s="1" t="str">
        <f ca="1">IFERROR(__xludf.DUMFUNCTION("GOOGLETRANSLATE(A1662,""id"",""en"")"),"Buy Fuel Subsidies Pertalite Solar Special Limits of Kendara List List  Open July Tata  PRFMNEWS  Pertalite Solar")</f>
        <v>Buy Fuel Subsidies Pertalite Solar Special Limits of Kendara List List  Open July Tata  PRFMNEWS  Pertalite Solar</v>
      </c>
    </row>
    <row r="1609" spans="1:2" x14ac:dyDescent="0.2">
      <c r="A1609" s="1" t="s">
        <v>3675</v>
      </c>
      <c r="B1609" s="1" t="str">
        <f ca="1">IFERROR(__xludf.DUMFUNCTION("GOOGLETRANSLATE(A1663,""id"",""en"")"),"here when you practice buying or not, the cellphone is not  printout qrcode")</f>
        <v>here when you practice buying or not, the cellphone is not  printout qrcode</v>
      </c>
    </row>
    <row r="1610" spans="1:2" x14ac:dyDescent="0.2">
      <c r="A1610" s="1" t="s">
        <v>3676</v>
      </c>
      <c r="B1610" s="1" t="str">
        <f ca="1">IFERROR(__xludf.DUMFUNCTION("GOOGLETRANSLATE(A1664,""id"",""en"")"),"sambal mr crispy sambal onion tras balado rica green thai sambal rica link tag lee zii jia impi  ginting lee heeseung")</f>
        <v>sambal mr crispy sambal onion tras balado rica green thai sambal rica link tag lee zii jia impi  ginting lee heeseung</v>
      </c>
    </row>
    <row r="1611" spans="1:2" x14ac:dyDescent="0.2">
      <c r="A1611" s="1" t="s">
        <v>3677</v>
      </c>
      <c r="B1611" s="1" t="str">
        <f ca="1">IFERROR(__xludf.DUMFUNCTION("GOOGLETRANSLATE(A1665,""id"",""en"")"),"really gaes gaes  doesn't use a cellphone to buy bbm using a printout qrcode good job ")</f>
        <v xml:space="preserve">really gaes gaes  doesn't use a cellphone to buy bbm using a printout qrcode good job </v>
      </c>
    </row>
    <row r="1612" spans="1:2" x14ac:dyDescent="0.2">
      <c r="A1612" s="1" t="s">
        <v>3678</v>
      </c>
      <c r="B1612" s="1" t="str">
        <f ca="1">IFERROR(__xludf.DUMFUNCTION("GOOGLETRANSLATE(A1666,""id"",""en"")"),"How to Terms of Tata List of  Applications Pertalite Solar Subsidies PT  Patra")</f>
        <v>How to Terms of Tata List of  Applications Pertalite Solar Subsidies PT  Patra</v>
      </c>
    </row>
    <row r="1613" spans="1:2" x14ac:dyDescent="0.2">
      <c r="A1613" s="1" t="s">
        <v>3679</v>
      </c>
      <c r="B1613" s="1" t="str">
        <f ca="1">IFERROR(__xludf.DUMFUNCTION("GOOGLETRANSLATE(A1667,""id"",""en"")"),"The discourse of poor people to buy LPG KG Mandatory  Application is not very HP BelielPiji KGPUPIAP DIRECTMINE MOHPHONE Mobile Application Pertamiapapatranraniaga PT")</f>
        <v>The discourse of poor people to buy LPG KG Mandatory  Application is not very HP BelielPiji KGPUPIAP DIRECTMINE MOHPHONE Mobile Application Pertamiapapatranraniaga PT</v>
      </c>
    </row>
    <row r="1614" spans="1:2" x14ac:dyDescent="0.2">
      <c r="A1614" s="1" t="s">
        <v>3063</v>
      </c>
      <c r="B1614" s="1" t="str">
        <f ca="1">IFERROR(__xludf.DUMFUNCTION("GOOGLETRANSLATE(A1668,""id"",""en"")"),"Pertalite Solar  People Buy Melon Gas Using  Application")</f>
        <v>Pertalite Solar  People Buy Melon Gas Using  Application</v>
      </c>
    </row>
    <row r="1615" spans="1:2" x14ac:dyDescent="0.2">
      <c r="A1615" s="1" t="s">
        <v>3680</v>
      </c>
      <c r="B1615" s="1" t="str">
        <f ca="1">IFERROR(__xludf.DUMFUNCTION("GOOGLETRANSLATE(A1669,""id"",""en"")"),"after looking for the news that is clear that the contents of the pertalite make the motorbike can be free")</f>
        <v>after looking for the news that is clear that the contents of the pertalite make the motorbike can be free</v>
      </c>
    </row>
    <row r="1616" spans="1:2" x14ac:dyDescent="0.2">
      <c r="A1616" s="1" t="s">
        <v>3681</v>
      </c>
      <c r="B1616" s="1" t="str">
        <f ca="1">IFERROR(__xludf.DUMFUNCTION("GOOGLETRANSLATE(A1670,""id"",""en"")"),"How to Terms of Tata List of  Applications Pertalite Solar Transactions Subsidies PT  Patra Niaga Laku wise fuel fuel fuel fuel subsidy Pertalite Solar Application")</f>
        <v>How to Terms of Tata List of  Applications Pertalite Solar Transactions Subsidies PT  Patra Niaga Laku wise fuel fuel fuel fuel subsidy Pertalite Solar Application</v>
      </c>
    </row>
    <row r="1617" spans="1:2" x14ac:dyDescent="0.2">
      <c r="A1617" s="1" t="s">
        <v>3682</v>
      </c>
      <c r="B1617" s="1" t="str">
        <f ca="1">IFERROR(__xludf.DUMFUNCTION("GOOGLETRANSLATE(A1671,""id"",""en"")"),"Sasar gaes lwt  already regulations solar year Pertalite rights of rich people who are luxury cars")</f>
        <v>Sasar gaes lwt  already regulations solar year Pertalite rights of rich people who are luxury cars</v>
      </c>
    </row>
    <row r="1618" spans="1:2" x14ac:dyDescent="0.2">
      <c r="A1618" s="1" t="s">
        <v>3683</v>
      </c>
      <c r="B1618" s="1" t="str">
        <f ca="1">IFERROR(__xludf.DUMFUNCTION("GOOGLETRANSLATE(A1672,""id"",""en"")"),"Cebong vs Kampret Wins Just see the  application if the stars are shit down")</f>
        <v>Cebong vs Kampret Wins Just see the  application if the stars are shit down</v>
      </c>
    </row>
    <row r="1619" spans="1:2" x14ac:dyDescent="0.2">
      <c r="A1619" s="1" t="s">
        <v>3684</v>
      </c>
      <c r="B1619" s="1" t="str">
        <f ca="1">IFERROR(__xludf.DUMFUNCTION("GOOGLETRANSLATE(A1673,""id"",""en"")"),"Ayuk install ")</f>
        <v xml:space="preserve">Ayuk install </v>
      </c>
    </row>
    <row r="1620" spans="1:2" x14ac:dyDescent="0.2">
      <c r="A1620" s="1" t="s">
        <v>3685</v>
      </c>
      <c r="B1620" s="1" t="str">
        <f ca="1">IFERROR(__xludf.DUMFUNCTION("GOOGLETRANSLATE(A1674,""id"",""en"")"),"Min, use the  application, thanks")</f>
        <v>Min, use the  application, thanks</v>
      </c>
    </row>
    <row r="1621" spans="1:2" x14ac:dyDescent="0.2">
      <c r="A1621" s="1" t="s">
        <v>3686</v>
      </c>
      <c r="B1621" s="1" t="str">
        <f ca="1">IFERROR(__xludf.DUMFUNCTION("GOOGLETRANSLATE(A1675,""id"",""en"")"),"Tempest in -laws in -law Indra Bekti  Holywings Lontong Jokowi afternoon")</f>
        <v>Tempest in -laws in -law Indra Bekti  Holywings Lontong Jokowi afternoon</v>
      </c>
    </row>
    <row r="1622" spans="1:2" x14ac:dyDescent="0.2">
      <c r="A1622" s="1" t="s">
        <v>3687</v>
      </c>
      <c r="B1622" s="1" t="str">
        <f ca="1">IFERROR(__xludf.DUMFUNCTION("GOOGLETRANSLATE(A1676,""id"",""en"")")," definitely bought LPG Kg ")</f>
        <v xml:space="preserve"> definitely bought LPG Kg </v>
      </c>
    </row>
    <row r="1623" spans="1:2" x14ac:dyDescent="0.2">
      <c r="A1623" s="1" t="s">
        <v>3688</v>
      </c>
      <c r="B1623" s="1" t="str">
        <f ca="1">IFERROR(__xludf.DUMFUNCTION("GOOGLETRANSLATE(A1677,""id"",""en"")")," Application Laks owned by private luxury cars if the contents of the subsidized fuel sometimes fill up to full tanks if you are a motorbike contents of the subsidized bbm thousand applications of   KNTL")</f>
        <v xml:space="preserve"> Application Laks owned by private luxury cars if the contents of the subsidized fuel sometimes fill up to full tanks if you are a motorbike contents of the subsidized bbm thousand applications of   KNTL</v>
      </c>
    </row>
    <row r="1624" spans="1:2" x14ac:dyDescent="0.2">
      <c r="A1624" s="1" t="s">
        <v>3689</v>
      </c>
      <c r="B1624" s="1" t="str">
        <f ca="1">IFERROR(__xludf.DUMFUNCTION("GOOGLETRANSLATE(A1678,""id"",""en"")"),"Fun aiming at fuel subsidized subsidies people who are just distributive systems using  from  pressing the field that is good, the steps are not required to support easy")</f>
        <v>Fun aiming at fuel subsidized subsidies people who are just distributive systems using  from  pressing the field that is good, the steps are not required to support easy</v>
      </c>
    </row>
    <row r="1625" spans="1:2" x14ac:dyDescent="0.2">
      <c r="A1625" s="1" t="s">
        <v>3690</v>
      </c>
      <c r="B1625" s="1" t="str">
        <f ca="1">IFERROR(__xludf.DUMFUNCTION("GOOGLETRANSLATE(A1679,""id"",""en"")"),"granola chocolate vanilla granola chocolate vanilla link tag lee zii jia impi  ginting lee heeseung")</f>
        <v>granola chocolate vanilla granola chocolate vanilla link tag lee zii jia impi  ginting lee heeseung</v>
      </c>
    </row>
    <row r="1626" spans="1:2" x14ac:dyDescent="0.2">
      <c r="A1626" s="1" t="s">
        <v>2968</v>
      </c>
      <c r="B1626" s="1" t="str">
        <f ca="1">IFERROR(__xludf.DUMFUNCTION("GOOGLETRANSLATE(A1680,""id"",""en"")")," Code Qr  for Fuel Fuel Fuel")</f>
        <v xml:space="preserve"> Code Qr  for Fuel Fuel Fuel</v>
      </c>
    </row>
    <row r="1627" spans="1:2" x14ac:dyDescent="0.2">
      <c r="A1627" s="1" t="s">
        <v>2463</v>
      </c>
      <c r="B1627" s="1" t="str">
        <f ca="1">IFERROR(__xludf.DUMFUNCTION("GOOGLETRANSLATE(A1681,""id"",""en"")")," Admin fee Rp")</f>
        <v xml:space="preserve"> Admin fee Rp</v>
      </c>
    </row>
    <row r="1628" spans="1:2" x14ac:dyDescent="0.2">
      <c r="A1628" s="1" t="s">
        <v>3691</v>
      </c>
      <c r="B1628" s="1" t="str">
        <f ca="1">IFERROR(__xludf.DUMFUNCTION("GOOGLETRANSLATE(A1682,""id"",""en"")"),"Fill in BBM Pertalite already runs out even though the city I have to do not have the impact of  trials okay, don't be rare pertalite forced by Pertamax eh mdh and not")</f>
        <v>Fill in BBM Pertalite already runs out even though the city I have to do not have the impact of  trials okay, don't be rare pertalite forced by Pertamax eh mdh and not</v>
      </c>
    </row>
    <row r="1629" spans="1:2" x14ac:dyDescent="0.2">
      <c r="A1629" s="1" t="s">
        <v>3692</v>
      </c>
      <c r="B1629" s="1" t="str">
        <f ca="1">IFERROR(__xludf.DUMFUNCTION("GOOGLETRANSLATE(A1683,""id"",""en"")"),"Pertalite Solar Buy LPG Kg Gas Using  Laku")</f>
        <v>Pertalite Solar Buy LPG Kg Gas Using  Laku</v>
      </c>
    </row>
    <row r="1630" spans="1:2" x14ac:dyDescent="0.2">
      <c r="A1630" s="1" t="s">
        <v>3693</v>
      </c>
      <c r="B1630" s="1" t="str">
        <f ca="1">IFERROR(__xludf.DUMFUNCTION("GOOGLETRANSLATE(A1684,""id"",""en"")"),"Use the  BBM application subsidy work Salang results")</f>
        <v>Use the  BBM application subsidy work Salang results</v>
      </c>
    </row>
    <row r="1631" spans="1:2" x14ac:dyDescent="0.2">
      <c r="A1631" s="1" t="s">
        <v>3694</v>
      </c>
      <c r="B1631" s="1" t="str">
        <f ca="1">IFERROR(__xludf.DUMFUNCTION("GOOGLETRANSLATE(A1685,""id"",""en"")"),"wise application  buy a strange solar pertalite")</f>
        <v>wise application  buy a strange solar pertalite</v>
      </c>
    </row>
    <row r="1632" spans="1:2" x14ac:dyDescent="0.2">
      <c r="A1632" s="1" t="s">
        <v>3695</v>
      </c>
      <c r="B1632" s="1" t="str">
        <f ca="1">IFERROR(__xludf.DUMFUNCTION("GOOGLETRANSLATE(A1686,""id"",""en"")"),"already said that unfortunately  is not required to use a cellphone with  application using a barcode cece cece all July list of mandatory lists of gas stations nyodorin hp gaes")</f>
        <v>already said that unfortunately  is not required to use a cellphone with  application using a barcode cece cece all July list of mandatory lists of gas stations nyodorin hp gaes</v>
      </c>
    </row>
    <row r="1633" spans="1:2" x14ac:dyDescent="0.2">
      <c r="A1633" s="1" t="s">
        <v>3696</v>
      </c>
      <c r="B1633" s="1" t="str">
        <f ca="1">IFERROR(__xludf.DUMFUNCTION("GOOGLETRANSLATE(A1687,""id"",""en"")"),"link list of  buy fuel subsidies pertalite solar mandatory citizens of jogja city of  portalyogya")</f>
        <v>link list of  buy fuel subsidies pertalite solar mandatory citizens of jogja city of  portalyogya</v>
      </c>
    </row>
    <row r="1634" spans="1:2" x14ac:dyDescent="0.2">
      <c r="A1634" s="1" t="s">
        <v>3697</v>
      </c>
      <c r="B1634" s="1" t="str">
        <f ca="1">IFERROR(__xludf.DUMFUNCTION("GOOGLETRANSLATE(A1688,""id"",""en"")"),"yes,   application is not as complicated as thinking about the cash application of the cellphone owned by the cellphone, there are many people.")</f>
        <v>yes,   application is not as complicated as thinking about the cash application of the cellphone owned by the cellphone, there are many people.</v>
      </c>
    </row>
    <row r="1635" spans="1:2" x14ac:dyDescent="0.2">
      <c r="A1635" s="1" t="s">
        <v>3146</v>
      </c>
      <c r="B1635" s="1" t="str">
        <f ca="1">IFERROR(__xludf.DUMFUNCTION("GOOGLETRANSLATE(A1689,""id"",""en"")"),"CopotMenDongok Copotmenteridongkongk Dikan  Poor Review Google Play")</f>
        <v>CopotMenDongok Copotmenteridongkongk Dikan  Poor Review Google Play</v>
      </c>
    </row>
    <row r="1636" spans="1:2" x14ac:dyDescent="0.2">
      <c r="A1636" s="1" t="s">
        <v>3698</v>
      </c>
      <c r="B1636" s="1" t="str">
        <f ca="1">IFERROR(__xludf.DUMFUNCTION("GOOGLETRANSLATE(A1690,""id"",""en"")"),"Selling Premium Application Netflix Guarantee Rent Zoom Account Courseo Grammarly Scribd Pro Canva Quillbot Check Turnitin Hulu HBO GO AMAZON PRIME VIDEO PICSART GOLD NORDVPN VYPR Skillshare  Vito Prifad Tom Hiddleston Lee ZII")</f>
        <v>Selling Premium Application Netflix Guarantee Rent Zoom Account Courseo Grammarly Scribd Pro Canva Quillbot Check Turnitin Hulu HBO GO AMAZON PRIME VIDEO PICSART GOLD NORDVPN VYPR Skillshare  Vito Prifad Tom Hiddleston Lee ZII</v>
      </c>
    </row>
    <row r="1637" spans="1:2" x14ac:dyDescent="0.2">
      <c r="A1637" s="1" t="s">
        <v>3699</v>
      </c>
      <c r="B1637" s="1" t="str">
        <f ca="1">IFERROR(__xludf.DUMFUNCTION("GOOGLETRANSLATE(A1691,""id"",""en"")"),"Beritasampit  firmly Buy LPG  Subsidies Jakarta Secretary of  Business Patra Niaga Irto Ginting")</f>
        <v>Beritasampit  firmly Buy LPG  Subsidies Jakarta Secretary of  Business Patra Niaga Irto Ginting</v>
      </c>
    </row>
    <row r="1638" spans="1:2" x14ac:dyDescent="0.2">
      <c r="A1638" s="1" t="s">
        <v>3700</v>
      </c>
      <c r="B1638" s="1" t="str">
        <f ca="1">IFERROR(__xludf.DUMFUNCTION("GOOGLETRANSLATE(A1692,""id"",""en"")")," application is owned by private luxury cars if the contents of the subsidized fuel sometimes fill up to the full tank if you are a motorbike contents")</f>
        <v xml:space="preserve"> application is owned by private luxury cars if the contents of the subsidized fuel sometimes fill up to the full tank if you are a motorbike contents</v>
      </c>
    </row>
    <row r="1639" spans="1:2" x14ac:dyDescent="0.2">
      <c r="A1639" s="1" t="s">
        <v>3701</v>
      </c>
      <c r="B1639" s="1" t="str">
        <f ca="1">IFERROR(__xludf.DUMFUNCTION("GOOGLETRANSLATE(A1693,""id"",""en"")"),"if not the  application, what is the qaqa list, the list of July web don't have the cellphone, how come it's not obligatory, love the Valid list of the Rights for the BBM subsidy, receive QRCode QRCode, BS")</f>
        <v>if not the  application, what is the qaqa list, the list of July web don't have the cellphone, how come it's not obligatory, love the Valid list of the Rights for the BBM subsidy, receive QRCode QRCode, BS</v>
      </c>
    </row>
    <row r="1640" spans="1:2" x14ac:dyDescent="0.2">
      <c r="A1640" s="1" t="s">
        <v>3702</v>
      </c>
      <c r="B1640" s="1" t="str">
        <f ca="1">IFERROR(__xludf.DUMFUNCTION("GOOGLETRANSLATE(A1694,""id"",""en"")"),"belongs to the   applications registration list of terra requirements")</f>
        <v>belongs to the   applications registration list of terra requirements</v>
      </c>
    </row>
    <row r="1641" spans="1:2" x14ac:dyDescent="0.2">
      <c r="A1641" s="1" t="s">
        <v>3703</v>
      </c>
      <c r="B1641" s="1" t="str">
        <f ca="1">IFERROR(__xludf.DUMFUNCTION("GOOGLETRANSLATE(A1695,""id"",""en"")"),"if you buy a sleeping lamp, don't list ")</f>
        <v xml:space="preserve">if you buy a sleeping lamp, don't list </v>
      </c>
    </row>
    <row r="1642" spans="1:2" x14ac:dyDescent="0.2">
      <c r="A1642" s="1" t="s">
        <v>3704</v>
      </c>
      <c r="B1642" s="1" t="str">
        <f ca="1">IFERROR(__xludf.DUMFUNCTION("GOOGLETRANSLATE(A1696,""id"",""en"")")," has already calm down on July the province just absorbs bkl offline booth gas stations helping people do not understand the consul there is clear yes qrcode for transactions not mandatory hp  application dl")</f>
        <v xml:space="preserve"> has already calm down on July the province just absorbs bkl offline booth gas stations helping people do not understand the consul there is clear yes qrcode for transactions not mandatory hp  application dl</v>
      </c>
    </row>
    <row r="1643" spans="1:2" x14ac:dyDescent="0.2">
      <c r="A1643" s="1" t="s">
        <v>3705</v>
      </c>
      <c r="B1643" s="1" t="str">
        <f ca="1">IFERROR(__xludf.DUMFUNCTION("GOOGLETRANSLATE(A1697,""id"",""en"")"),"Pertalite Buy LPG Kg Using ")</f>
        <v xml:space="preserve">Pertalite Buy LPG Kg Using </v>
      </c>
    </row>
    <row r="1644" spans="1:2" x14ac:dyDescent="0.2">
      <c r="A1644" s="1" t="s">
        <v>3706</v>
      </c>
      <c r="B1644" s="1" t="str">
        <f ca="1">IFERROR(__xludf.DUMFUNCTION("GOOGLETRANSLATE(A1698,""id"",""en"")")," Buy Pertalite Using  Rich Driver Use Driver Account Wkwkwk")</f>
        <v xml:space="preserve"> Buy Pertalite Using  Rich Driver Use Driver Account Wkwkwk</v>
      </c>
    </row>
    <row r="1645" spans="1:2" x14ac:dyDescent="0.2">
      <c r="A1645" s="1" t="s">
        <v>3707</v>
      </c>
      <c r="B1645" s="1" t="str">
        <f ca="1">IFERROR(__xludf.DUMFUNCTION("GOOGLETRANSLATE(A1699,""id"",""en"")")," Monopoly Practice Access Wallet is available")</f>
        <v xml:space="preserve"> Monopoly Practice Access Wallet is available</v>
      </c>
    </row>
    <row r="1646" spans="1:2" x14ac:dyDescent="0.2">
      <c r="A1646" s="1" t="s">
        <v>3708</v>
      </c>
      <c r="B1646" s="1" t="str">
        <f ca="1">IFERROR(__xludf.DUMFUNCTION("GOOGLETRANSLATE(A1700,""id"",""en"")"),"Baula download the  application Ngaluarkeun Card Jiga Kieu even though the pungsikeun btw btw baula made an Ieu card Ka Wowoy I undi Umrah haha")</f>
        <v>Baula download the  application Ngaluarkeun Card Jiga Kieu even though the pungsikeun btw btw baula made an Ieu card Ka Wowoy I undi Umrah haha</v>
      </c>
    </row>
    <row r="1647" spans="1:2" x14ac:dyDescent="0.2">
      <c r="A1647" s="1" t="s">
        <v>3709</v>
      </c>
      <c r="B1647" s="1" t="str">
        <f ca="1">IFERROR(__xludf.DUMFUNCTION("GOOGLETRANSLATE(A1701,""id"",""en"")"),"Buy LPG Kg Gas Using  Testing Thousand Sitting")</f>
        <v>Buy LPG Kg Gas Using  Testing Thousand Sitting</v>
      </c>
    </row>
    <row r="1648" spans="1:2" x14ac:dyDescent="0.2">
      <c r="A1648" s="1" t="s">
        <v>3710</v>
      </c>
      <c r="B1648" s="1" t="str">
        <f ca="1">IFERROR(__xludf.DUMFUNCTION("GOOGLETRANSLATE(A1702,""id"",""en"")"),"Pay attention to buying pertalite to buy LPG Kg gas cylinders must register ")</f>
        <v xml:space="preserve">Pay attention to buying pertalite to buy LPG Kg gas cylinders must register </v>
      </c>
    </row>
    <row r="1649" spans="1:2" x14ac:dyDescent="0.2">
      <c r="A1649" s="1" t="s">
        <v>3711</v>
      </c>
      <c r="B1649" s="1" t="str">
        <f ca="1">IFERROR(__xludf.DUMFUNCTION("GOOGLETRANSLATE(A1703,""id"",""en"")"),"thread  yok intelligent community valid info  utama dated July list bkn list gt valid rights to fuel subsidies gt qrcode transactions buy mobiles see Thead")</f>
        <v>thread  yok intelligent community valid info  utama dated July list bkn list gt valid rights to fuel subsidies gt qrcode transactions buy mobiles see Thead</v>
      </c>
    </row>
    <row r="1650" spans="1:2" x14ac:dyDescent="0.2">
      <c r="A1650" s="1" t="s">
        <v>3712</v>
      </c>
      <c r="B1650" s="1" t="str">
        <f ca="1">IFERROR(__xludf.DUMFUNCTION("GOOGLETRANSLATE(A1704,""id"",""en"")"),"Tent Brochure Tent Acrylic Card Display Side Link Lee Zii Jia Impi  Ginting Lee Heeseung")</f>
        <v>Tent Brochure Tent Acrylic Card Display Side Link Lee Zii Jia Impi  Ginting Lee Heeseung</v>
      </c>
    </row>
    <row r="1651" spans="1:2" x14ac:dyDescent="0.2">
      <c r="A1651" s="1" t="s">
        <v>93</v>
      </c>
      <c r="B1651" s="1" t="str">
        <f ca="1">IFERROR(__xludf.DUMFUNCTION("GOOGLETRANSLATE(A1705,""id"",""en"")"),"Member of the House of Representatives Commission VI RI Faction Nasdem Brother Rudi Hartono Bangun Wise")</f>
        <v>Member of the House of Representatives Commission VI RI Faction Nasdem Brother Rudi Hartono Bangun Wise</v>
      </c>
    </row>
    <row r="1652" spans="1:2" x14ac:dyDescent="0.2">
      <c r="A1652" s="1" t="s">
        <v>3713</v>
      </c>
      <c r="B1652" s="1" t="str">
        <f ca="1">IFERROR(__xludf.DUMFUNCTION("GOOGLETRANSLATE(A1706,""id"",""en"")"),"on leaking BBM Golkar legislator subsidies support the list of  application accounts")</f>
        <v>on leaking BBM Golkar legislator subsidies support the list of  application accounts</v>
      </c>
    </row>
    <row r="1653" spans="1:2" x14ac:dyDescent="0.2">
      <c r="A1653" s="1" t="s">
        <v>3714</v>
      </c>
      <c r="B1653" s="1" t="str">
        <f ca="1">IFERROR(__xludf.DUMFUNCTION("GOOGLETRANSLATE(A1707,""id"",""en"")"),"Buy a Motorcycle Pertalite List ")</f>
        <v xml:space="preserve">Buy a Motorcycle Pertalite List </v>
      </c>
    </row>
    <row r="1654" spans="1:2" x14ac:dyDescent="0.2">
      <c r="A1654" s="1" t="s">
        <v>971</v>
      </c>
      <c r="B1654" s="1" t="str">
        <f ca="1">IFERROR(__xludf.DUMFUNCTION("GOOGLETRANSLATE(A1708,""id"",""en"")"),"July  Open the BUBER BUY SUBSIDY LIST")</f>
        <v>July  Open the BUBER BUY SUBSIDY LIST</v>
      </c>
    </row>
    <row r="1655" spans="1:2" x14ac:dyDescent="0.2">
      <c r="A1655" s="1" t="s">
        <v>3715</v>
      </c>
      <c r="B1655" s="1" t="str">
        <f ca="1">IFERROR(__xludf.DUMFUNCTION("GOOGLETRANSLATE(A1709,""id"",""en"")"),"Cool Cac  Near Kek Contek Steps")</f>
        <v>Cool Cac  Near Kek Contek Steps</v>
      </c>
    </row>
    <row r="1656" spans="1:2" x14ac:dyDescent="0.2">
      <c r="A1656" s="1" t="s">
        <v>3716</v>
      </c>
      <c r="B1656" s="1" t="str">
        <f ca="1">IFERROR(__xludf.DUMFUNCTION("GOOGLETRANSLATE(A1710,""id"",""en"")"),"Buy BBM Mandatory Make the  SPBU Application Not Playing HP already so I pay electronic Kudu Kudu Linkaja I don't use Linkaja Umpat until the bone")</f>
        <v>Buy BBM Mandatory Make the  SPBU Application Not Playing HP already so I pay electronic Kudu Kudu Linkaja I don't use Linkaja Umpat until the bone</v>
      </c>
    </row>
    <row r="1657" spans="1:2" x14ac:dyDescent="0.2">
      <c r="A1657" s="1" t="s">
        <v>3717</v>
      </c>
      <c r="B1657" s="1" t="str">
        <f ca="1">IFERROR(__xludf.DUMFUNCTION("GOOGLETRANSLATE(A1711,""id"",""en"")"),"Buy Pertalite Solar Using  Tomorrow, Jogja residents of the new trial gas station location")</f>
        <v>Buy Pertalite Solar Using  Tomorrow, Jogja residents of the new trial gas station location</v>
      </c>
    </row>
    <row r="1658" spans="1:2" x14ac:dyDescent="0.2">
      <c r="A1658" s="1" t="s">
        <v>3718</v>
      </c>
      <c r="B1658" s="1" t="str">
        <f ca="1">IFERROR(__xludf.DUMFUNCTION("GOOGLETRANSLATE(A1712,""id"",""en"")"),"buy pertalite using  list of hp website applications")</f>
        <v>buy pertalite using  list of hp website applications</v>
      </c>
    </row>
    <row r="1659" spans="1:2" x14ac:dyDescent="0.2">
      <c r="A1659" s="1" t="s">
        <v>3719</v>
      </c>
      <c r="B1659" s="1" t="str">
        <f ca="1">IFERROR(__xludf.DUMFUNCTION("GOOGLETRANSLATE(A1713,""id"",""en"")"),"trial tutorial for app  tomorrow city")</f>
        <v>trial tutorial for app  tomorrow city</v>
      </c>
    </row>
    <row r="1660" spans="1:2" x14ac:dyDescent="0.2">
      <c r="A1660" s="1" t="s">
        <v>3720</v>
      </c>
      <c r="B1660" s="1" t="str">
        <f ca="1">IFERROR(__xludf.DUMFUNCTION("GOOGLETRANSLATE(A1714,""id"",""en"")"),"Buy LPG Kg Gas Using  Sudan Trial Thousand Sitting")</f>
        <v>Buy LPG Kg Gas Using  Sudan Trial Thousand Sitting</v>
      </c>
    </row>
    <row r="1661" spans="1:2" x14ac:dyDescent="0.2">
      <c r="A1661" s="1" t="s">
        <v>3721</v>
      </c>
      <c r="B1661" s="1" t="str">
        <f ca="1">IFERROR(__xludf.DUMFUNCTION("GOOGLETRANSLATE(A1715,""id"",""en"")"),"Buy Pertalite Bandung Must Use the July Application Consider creating an online  account")</f>
        <v>Buy Pertalite Bandung Must Use the July Application Consider creating an online  account</v>
      </c>
    </row>
    <row r="1662" spans="1:2" x14ac:dyDescent="0.2">
      <c r="A1662" s="1" t="s">
        <v>3722</v>
      </c>
      <c r="B1662" s="1" t="str">
        <f ca="1">IFERROR(__xludf.DUMFUNCTION("GOOGLETRANSLATE(A1716,""id"",""en"")")," People are worried about the issue of buying LPG subsidies ")</f>
        <v xml:space="preserve"> People are worried about the issue of buying LPG subsidies </v>
      </c>
    </row>
    <row r="1663" spans="1:2" x14ac:dyDescent="0.2">
      <c r="A1663" s="1" t="s">
        <v>3723</v>
      </c>
      <c r="B1663" s="1" t="str">
        <f ca="1">IFERROR(__xludf.DUMFUNCTION("GOOGLETRANSLATE(A1717,""id"",""en"")"),"PT  Persero Strictly Buy LPG Kg Tight Buying Mandatory Buying List of  Laku Pertalite")</f>
        <v>PT  Persero Strictly Buy LPG Kg Tight Buying Mandatory Buying List of  Laku Pertalite</v>
      </c>
    </row>
    <row r="1664" spans="1:2" x14ac:dyDescent="0.2">
      <c r="A1664" s="1" t="s">
        <v>3724</v>
      </c>
      <c r="B1664" s="1" t="str">
        <f ca="1">IFERROR(__xludf.DUMFUNCTION("GOOGLETRANSLATE(A1718,""id"",""en"")"),"HAMPAR SKY MAHA MAHA PERFECT")</f>
        <v>HAMPAR SKY MAHA MAHA PERFECT</v>
      </c>
    </row>
    <row r="1665" spans="1:2" x14ac:dyDescent="0.2">
      <c r="A1665" s="1" t="s">
        <v>3725</v>
      </c>
      <c r="B1665" s="1" t="str">
        <f ca="1">IFERROR(__xludf.DUMFUNCTION("GOOGLETRANSLATE(A1719,""id"",""en"")"),"Buy LPG Kg Gas Using the  Application")</f>
        <v>Buy LPG Kg Gas Using the  Application</v>
      </c>
    </row>
    <row r="1666" spans="1:2" x14ac:dyDescent="0.2">
      <c r="A1666" s="1" t="s">
        <v>3726</v>
      </c>
      <c r="B1666" s="1" t="str">
        <f ca="1">IFERROR(__xludf.DUMFUNCTION("GOOGLETRANSLATE(A1720,""id"",""en"")"),"Country fast internet which uses the internet to enter the mall buy oil buying fuel internet fast tri ")</f>
        <v xml:space="preserve">Country fast internet which uses the internet to enter the mall buy oil buying fuel internet fast tri </v>
      </c>
    </row>
    <row r="1667" spans="1:2" x14ac:dyDescent="0.2">
      <c r="A1667" s="1" t="s">
        <v>972</v>
      </c>
      <c r="B1667" s="1" t="str">
        <f ca="1">IFERROR(__xludf.DUMFUNCTION("GOOGLETRANSLATE(A1721,""id"",""en"")"),"BBM Pertalite Solar PT  Persero Plan for the Subsidy Receiving System")</f>
        <v>BBM Pertalite Solar PT  Persero Plan for the Subsidy Receiving System</v>
      </c>
    </row>
    <row r="1668" spans="1:2" x14ac:dyDescent="0.2">
      <c r="A1668" s="1" t="s">
        <v>3727</v>
      </c>
      <c r="B1668" s="1" t="str">
        <f ca="1">IFERROR(__xludf.DUMFUNCTION("GOOGLETRANSLATE(A1722,""id"",""en"")"),"Buy gasoline using , if I just lucky, fast the Linkaja page if the Nightmare is ugly signal")</f>
        <v>Buy gasoline using , if I just lucky, fast the Linkaja page if the Nightmare is ugly signal</v>
      </c>
    </row>
    <row r="1669" spans="1:2" x14ac:dyDescent="0.2">
      <c r="A1669" s="1" t="s">
        <v>3728</v>
      </c>
      <c r="B1669" s="1" t="str">
        <f ca="1">IFERROR(__xludf.DUMFUNCTION("GOOGLETRANSLATE(A1723,""id"",""en"")")," finished making")</f>
        <v xml:space="preserve"> finished making</v>
      </c>
    </row>
    <row r="1670" spans="1:2" x14ac:dyDescent="0.2">
      <c r="A1670" s="1" t="s">
        <v>94</v>
      </c>
      <c r="B1670" s="1" t="str">
        <f ca="1">IFERROR(__xludf.DUMFUNCTION("GOOGLETRANSLATE(A1724,""id"",""en"")"),"Taufikurachman Pay BBM Subsidies Pay Cash Pay Transactions")</f>
        <v>Taufikurachman Pay BBM Subsidies Pay Cash Pay Transactions</v>
      </c>
    </row>
    <row r="1671" spans="1:2" x14ac:dyDescent="0.2">
      <c r="A1671" s="1" t="s">
        <v>95</v>
      </c>
      <c r="B1671" s="1" t="str">
        <f ca="1">IFERROR(__xludf.DUMFUNCTION("GOOGLETRANSLATE(A1725,""id"",""en"")"),"IMPAU Public Rights Pertalite Solar List")</f>
        <v>IMPAU Public Rights Pertalite Solar List</v>
      </c>
    </row>
    <row r="1672" spans="1:2" x14ac:dyDescent="0.2">
      <c r="A1672" s="1" t="s">
        <v>96</v>
      </c>
      <c r="B1672" s="1" t="str">
        <f ca="1">IFERROR(__xludf.DUMFUNCTION("GOOGLETRANSLATE(A1726,""id"",""en"")"),"trial of West Sumatra Province South Kalimantan, North Sulawesi, West Java, area")</f>
        <v>trial of West Sumatra Province South Kalimantan, North Sulawesi, West Java, area</v>
      </c>
    </row>
    <row r="1673" spans="1:2" x14ac:dyDescent="0.2">
      <c r="A1673" s="1" t="s">
        <v>973</v>
      </c>
      <c r="B1673" s="1" t="str">
        <f ca="1">IFERROR(__xludf.DUMFUNCTION("GOOGLETRANSLATE(A1727,""id"",""en"")"),"Area Manager Communication Relations AMP CSR Sumbagut PT  Patra Niaga Taufikurachman")</f>
        <v>Area Manager Communication Relations AMP CSR Sumbagut PT  Patra Niaga Taufikurachman</v>
      </c>
    </row>
    <row r="1674" spans="1:2" x14ac:dyDescent="0.2">
      <c r="A1674" s="1" t="s">
        <v>3729</v>
      </c>
      <c r="B1674" s="1" t="str">
        <f ca="1">IFERROR(__xludf.DUMFUNCTION("GOOGLETRANSLATE(A1728,""id"",""en"")"),"Prevent BBM SUBSIDI  DATA CONSUMER SARIAGRI FIRST DATA")</f>
        <v>Prevent BBM SUBSIDI  DATA CONSUMER SARIAGRI FIRST DATA</v>
      </c>
    </row>
    <row r="1675" spans="1:2" x14ac:dyDescent="0.2">
      <c r="A1675" s="1" t="s">
        <v>3730</v>
      </c>
      <c r="B1675" s="1" t="str">
        <f ca="1">IFERROR(__xludf.DUMFUNCTION("GOOGLETRANSLATE(A1729,""id"",""en"")")," Informra Patra Niaga Sub Holding Commercial Amp Trading PT  Persero Trial Trial Buy Pertalite Solar to List of the  System")</f>
        <v xml:space="preserve"> Informra Patra Niaga Sub Holding Commercial Amp Trading PT  Persero Trial Trial Buy Pertalite Solar to List of the  System</v>
      </c>
    </row>
    <row r="1676" spans="1:2" x14ac:dyDescent="0.2">
      <c r="A1676" s="1" t="s">
        <v>3731</v>
      </c>
      <c r="B1676" s="1" t="str">
        <f ca="1">IFERROR(__xludf.DUMFUNCTION("GOOGLETRANSLATE(A1730,""id"",""en"")"),"Pertalite Buy LPG Kg Using  IDCorner")</f>
        <v>Pertalite Buy LPG Kg Using  IDCorner</v>
      </c>
    </row>
    <row r="1677" spans="1:2" x14ac:dyDescent="0.2">
      <c r="A1677" s="1" t="s">
        <v>3732</v>
      </c>
      <c r="B1677" s="1" t="str">
        <f ca="1">IFERROR(__xludf.DUMFUNCTION("GOOGLETRANSLATE(A1731,""id"",""en"")"),"PT  Laku Buy Fuel Fuel Fuel PERTALITE TYPES OF  APPLICATION OPERATION")</f>
        <v>PT  Laku Buy Fuel Fuel Fuel PERTALITE TYPES OF  APPLICATION OPERATION</v>
      </c>
    </row>
    <row r="1678" spans="1:2" x14ac:dyDescent="0.2">
      <c r="A1678" s="1" t="s">
        <v>3733</v>
      </c>
      <c r="B1678" s="1" t="str">
        <f ca="1">IFERROR(__xludf.DUMFUNCTION("GOOGLETRANSLATE(A1732,""id"",""en"")")," Buy LPG Subsidies Using ")</f>
        <v xml:space="preserve"> Buy LPG Subsidies Using </v>
      </c>
    </row>
    <row r="1679" spans="1:2" x14ac:dyDescent="0.2">
      <c r="A1679" s="1" t="s">
        <v>3734</v>
      </c>
      <c r="B1679" s="1" t="str">
        <f ca="1">IFERROR(__xludf.DUMFUNCTION("GOOGLETRANSLATE(A1733,""id"",""en"")"),"Beritasampit  QR  Code for Cheating BBM BBM Jakarta Secretary of  Business Patra Niaga Irto Ginting Penggu")</f>
        <v>Beritasampit  QR  Code for Cheating BBM BBM Jakarta Secretary of  Business Patra Niaga Irto Ginting Penggu</v>
      </c>
    </row>
    <row r="1680" spans="1:2" x14ac:dyDescent="0.2">
      <c r="A1680" s="1" t="s">
        <v>3735</v>
      </c>
      <c r="B1680" s="1" t="str">
        <f ca="1">IFERROR(__xludf.DUMFUNCTION("GOOGLETRANSLATE(A1734,""id"",""en"")")," application must receive subsidized fuel in July instead of welcoming wisely protest loudly")</f>
        <v xml:space="preserve"> application must receive subsidized fuel in July instead of welcoming wisely protest loudly</v>
      </c>
    </row>
    <row r="1681" spans="1:2" x14ac:dyDescent="0.2">
      <c r="A1681" s="1" t="s">
        <v>3736</v>
      </c>
      <c r="B1681" s="1" t="str">
        <f ca="1">IFERROR(__xludf.DUMFUNCTION("GOOGLETRANSLATE(A1735,""id"",""en"")")," QR code for cheating BBM measures")</f>
        <v xml:space="preserve"> QR code for cheating BBM measures</v>
      </c>
    </row>
    <row r="1682" spans="1:2" x14ac:dyDescent="0.2">
      <c r="A1682" s="1" t="s">
        <v>3737</v>
      </c>
      <c r="B1682" s="1" t="str">
        <f ca="1">IFERROR(__xludf.DUMFUNCTION("GOOGLETRANSLATE(A1736,""id"",""en"")"),"Record the Mandatory  vehicle list")</f>
        <v>Record the Mandatory  vehicle list</v>
      </c>
    </row>
    <row r="1683" spans="1:2" x14ac:dyDescent="0.2">
      <c r="A1683" s="1" t="s">
        <v>3738</v>
      </c>
      <c r="B1683" s="1" t="str">
        <f ca="1">IFERROR(__xludf.DUMFUNCTION("GOOGLETRANSLATE(A1737,""id"",""en"")"),"It's easy to use a cellphone, no apk , the July list of  is gaes, too")</f>
        <v>It's easy to use a cellphone, no apk , the July list of  is gaes, too</v>
      </c>
    </row>
    <row r="1684" spans="1:2" x14ac:dyDescent="0.2">
      <c r="A1684" s="1" t="s">
        <v>3739</v>
      </c>
      <c r="B1684" s="1" t="str">
        <f ca="1">IFERROR(__xludf.DUMFUNCTION("GOOGLETRANSLATE(A1738,""id"",""en"")"),"PT  Persero Test Trial List of  Applications July tomorrow the  Application Terms of Buying Fuel Fuel Subsidies Types of Solar PERTALITE Society ")</f>
        <v xml:space="preserve">PT  Persero Test Trial List of  Applications July tomorrow the  Application Terms of Buying Fuel Fuel Subsidies Types of Solar PERTALITE Society </v>
      </c>
    </row>
    <row r="1685" spans="1:2" x14ac:dyDescent="0.2">
      <c r="A1685" s="1" t="s">
        <v>3740</v>
      </c>
      <c r="B1685" s="1" t="str">
        <f ca="1">IFERROR(__xludf.DUMFUNCTION("GOOGLETRANSLATE(A1739,""id"",""en"")"),"Kendara List of   Pertalite Fill")</f>
        <v>Kendara List of   Pertalite Fill</v>
      </c>
    </row>
    <row r="1686" spans="1:2" x14ac:dyDescent="0.2">
      <c r="A1686" s="1" t="s">
        <v>3098</v>
      </c>
      <c r="B1686" s="1" t="str">
        <f ca="1">IFERROR(__xludf.DUMFUNCTION("GOOGLETRANSLATE(A1740,""id"",""en"")"),"After filling up ")</f>
        <v xml:space="preserve">After filling up </v>
      </c>
    </row>
    <row r="1687" spans="1:2" x14ac:dyDescent="0.2">
      <c r="A1687" s="1" t="s">
        <v>3741</v>
      </c>
      <c r="B1687" s="1" t="str">
        <f ca="1">IFERROR(__xludf.DUMFUNCTION("GOOGLETRANSLATE(A1741,""id"",""en"")"),"no  no hrs cell phone list is easy to just buy the fuel also don't use the printoutqrcode hp gaes")</f>
        <v>no  no hrs cell phone list is easy to just buy the fuel also don't use the printoutqrcode hp gaes</v>
      </c>
    </row>
    <row r="1688" spans="1:2" x14ac:dyDescent="0.2">
      <c r="A1688" s="1" t="s">
        <v>3742</v>
      </c>
      <c r="B1688" s="1" t="str">
        <f ca="1">IFERROR(__xludf.DUMFUNCTION("GOOGLETRANSLATE(A1742,""id"",""en"")"),"Tomorrow Friday July Buy BBM Subsidies SPBU using the  application")</f>
        <v>Tomorrow Friday July Buy BBM Subsidies SPBU using the  application</v>
      </c>
    </row>
    <row r="1689" spans="1:2" x14ac:dyDescent="0.2">
      <c r="A1689" s="1" t="s">
        <v>3743</v>
      </c>
      <c r="B1689" s="1" t="str">
        <f ca="1">IFERROR(__xludf.DUMFUNCTION("GOOGLETRANSLATE(A1743,""id"",""en"")"),"Adjust the Electricity Triffs Tomorrow Buy Pertalite Using ")</f>
        <v xml:space="preserve">Adjust the Electricity Triffs Tomorrow Buy Pertalite Using </v>
      </c>
    </row>
    <row r="1690" spans="1:2" x14ac:dyDescent="0.2">
      <c r="A1690" s="1" t="s">
        <v>974</v>
      </c>
      <c r="B1690" s="1" t="str">
        <f ca="1">IFERROR(__xludf.DUMFUNCTION("GOOGLETRANSLATE(A1744,""id"",""en"")"),"It's easy, don't be complicated, cusing on July, list of  limits, good steps")</f>
        <v>It's easy, don't be complicated, cusing on July, list of  limits, good steps</v>
      </c>
    </row>
    <row r="1691" spans="1:2" x14ac:dyDescent="0.2">
      <c r="A1691" s="1" t="s">
        <v>3744</v>
      </c>
      <c r="B1691" s="1" t="str">
        <f ca="1">IFERROR(__xludf.DUMFUNCTION("GOOGLETRANSLATE(A1745,""id"",""en"")"),"calm down that is not  cellphone   list in July remember the list of bkn borders to support the good steps of  BBM subsidies that are right")</f>
        <v>calm down that is not  cellphone   list in July remember the list of bkn borders to support the good steps of  BBM subsidies that are right</v>
      </c>
    </row>
    <row r="1692" spans="1:2" x14ac:dyDescent="0.2">
      <c r="A1692" s="1" t="s">
        <v>3745</v>
      </c>
      <c r="B1692" s="1" t="str">
        <f ca="1">IFERROR(__xludf.DUMFUNCTION("GOOGLETRANSLATE(A1746,""id"",""en"")"),"ngecheat already bniwajibdiaudit superjunior   application cheat gas station")</f>
        <v>ngecheat already bniwajibdiaudit superjunior   application cheat gas station</v>
      </c>
    </row>
    <row r="1693" spans="1:2" x14ac:dyDescent="0.2">
      <c r="A1693" s="1" t="s">
        <v>3746</v>
      </c>
      <c r="B1693" s="1" t="str">
        <f ca="1">IFERROR(__xludf.DUMFUNCTION("GOOGLETRANSLATE(A1747,""id"",""en"")"),"I have also installed   amp Linkaja, but , pay for the automatic lunkaja")</f>
        <v>I have also installed   amp Linkaja, but , pay for the automatic lunkaja</v>
      </c>
    </row>
    <row r="1694" spans="1:2" x14ac:dyDescent="0.2">
      <c r="A1694" s="1" t="s">
        <v>2517</v>
      </c>
      <c r="B1694" s="1" t="str">
        <f ca="1">IFERROR(__xludf.DUMFUNCTION("GOOGLETRANSLATE(A1748,""id"",""en"")"),"Silent Testing Trial Buying LPG Kg Must Register ")</f>
        <v xml:space="preserve">Silent Testing Trial Buying LPG Kg Must Register </v>
      </c>
    </row>
    <row r="1695" spans="1:2" x14ac:dyDescent="0.2">
      <c r="A1695" s="1" t="s">
        <v>3747</v>
      </c>
      <c r="B1695" s="1" t="str">
        <f ca="1">IFERROR(__xludf.DUMFUNCTION("GOOGLETRANSLATE(A1749,""id"",""en"")"),"PT  Persero Laku Laku Application  Buy BBM Subsidies Type of Solar PERTALITE PLAN Tomorrow July  Test Open the List of Solar")</f>
        <v>PT  Persero Laku Laku Application  Buy BBM Subsidies Type of Solar PERTALITE PLAN Tomorrow July  Test Open the List of Solar</v>
      </c>
    </row>
    <row r="1696" spans="1:2" x14ac:dyDescent="0.2">
      <c r="A1696" s="1" t="s">
        <v>3748</v>
      </c>
      <c r="B1696" s="1" t="str">
        <f ca="1">IFERROR(__xludf.DUMFUNCTION("GOOGLETRANSLATE(A1750,""id"",""en"")"),"Forbidding Playing Hp near Gas Station Payment Payment Using  Apps")</f>
        <v>Forbidding Playing Hp near Gas Station Payment Payment Using  Apps</v>
      </c>
    </row>
    <row r="1697" spans="1:2" x14ac:dyDescent="0.2">
      <c r="A1697" s="1" t="s">
        <v>3749</v>
      </c>
      <c r="B1697" s="1" t="str">
        <f ca="1">IFERROR(__xludf.DUMFUNCTION("GOOGLETRANSLATE(A1751,""id"",""en"")"),"Hola Netizen Takde Hp Gak  calm  List Ditgl July Remember Yes List BKN LGS Lims Support Good Steps  BBM Subsidy Sasar")</f>
        <v>Hola Netizen Takde Hp Gak  calm  List Ditgl July Remember Yes List BKN LGS Lims Support Good Steps  BBM Subsidy Sasar</v>
      </c>
    </row>
    <row r="1698" spans="1:2" x14ac:dyDescent="0.2">
      <c r="A1698" s="1" t="s">
        <v>3750</v>
      </c>
      <c r="B1698" s="1" t="str">
        <f ca="1">IFERROR(__xludf.DUMFUNCTION("GOOGLETRANSLATE(A1752,""id"",""en"")"),"Eating Grabbike gofood ngojek is supplied by Gocar Shopetoped Shopping Gasoline  owes cicilan Investment Pluang shares Dr. Halodoc Buy Cooking Oil Protected NKRE NKRE APPLICATION OF ENDONESAH REPUBLIC")</f>
        <v>Eating Grabbike gofood ngojek is supplied by Gocar Shopetoped Shopping Gasoline  owes cicilan Investment Pluang shares Dr. Halodoc Buy Cooking Oil Protected NKRE NKRE APPLICATION OF ENDONESAH REPUBLIC</v>
      </c>
    </row>
    <row r="1699" spans="1:2" x14ac:dyDescent="0.2">
      <c r="A1699" s="1" t="s">
        <v>3751</v>
      </c>
      <c r="B1699" s="1" t="str">
        <f ca="1">IFERROR(__xludf.DUMFUNCTION("GOOGLETRANSLATE(A1753,""id"",""en"")"),"The  APPLICATION Harvests Poor Review Google Play Store  Pertalite Citizen SPBU ")</f>
        <v xml:space="preserve">The  APPLICATION Harvests Poor Review Google Play Store  Pertalite Citizen SPBU </v>
      </c>
    </row>
    <row r="1700" spans="1:2" x14ac:dyDescent="0.2">
      <c r="A1700" s="1" t="s">
        <v>3752</v>
      </c>
      <c r="B1700" s="1" t="str">
        <f ca="1">IFERROR(__xludf.DUMFUNCTION("GOOGLETRANSLATE(A1754,""id"",""en"")"),"no cellphone no  calm  list in July remember the list of bkn borders support the good steps of  BBM subsidies not rich people gaes")</f>
        <v>no cellphone no  calm  list in July remember the list of bkn borders support the good steps of  BBM subsidies not rich people gaes</v>
      </c>
    </row>
    <row r="1701" spans="1:2" x14ac:dyDescent="0.2">
      <c r="A1701" s="1" t="s">
        <v>3753</v>
      </c>
      <c r="B1701" s="1" t="str">
        <f ca="1">IFERROR(__xludf.DUMFUNCTION("GOOGLETRANSLATE(A1755,""id"",""en"")"),"I have also installed   amp Linkaja, but , paying for the lunkaja, which automatically added the cost like the Aya Wae Wot Gawoh Adong Sajo application")</f>
        <v>I have also installed   amp Linkaja, but , paying for the lunkaja, which automatically added the cost like the Aya Wae Wot Gawoh Adong Sajo application</v>
      </c>
    </row>
    <row r="1702" spans="1:2" x14ac:dyDescent="0.2">
      <c r="A1702" s="1" t="s">
        <v>60</v>
      </c>
      <c r="B1702" s="1" t="str">
        <f ca="1">IFERROR(__xludf.DUMFUNCTION("GOOGLETRANSLATE(A1756,""id"",""en"")"),"list of buying fuel subsidies pages")</f>
        <v>list of buying fuel subsidies pages</v>
      </c>
    </row>
    <row r="1703" spans="1:2" x14ac:dyDescent="0.2">
      <c r="A1703" s="1" t="s">
        <v>97</v>
      </c>
      <c r="B1703" s="1" t="str">
        <f ca="1">IFERROR(__xludf.DUMFUNCTION("GOOGLETRANSLATE(A1757,""id"",""en"")"),"For a motorcycle, buy a normal gas station pertalite")</f>
        <v>For a motorcycle, buy a normal gas station pertalite</v>
      </c>
    </row>
    <row r="1704" spans="1:2" x14ac:dyDescent="0.2">
      <c r="A1704" s="1" t="s">
        <v>3740</v>
      </c>
      <c r="B1704" s="1" t="str">
        <f ca="1">IFERROR(__xludf.DUMFUNCTION("GOOGLETRANSLATE(A1758,""id"",""en"")"),"Kendara List of   Pertalite Fill")</f>
        <v>Kendara List of   Pertalite Fill</v>
      </c>
    </row>
    <row r="1705" spans="1:2" x14ac:dyDescent="0.2">
      <c r="A1705" s="1" t="s">
        <v>3754</v>
      </c>
      <c r="B1705" s="1" t="str">
        <f ca="1">IFERROR(__xludf.DUMFUNCTION("GOOGLETRANSLATE(A1759,""id"",""en"")"),"PT  is obliged to use BBM subsidized type solar type list of  websites")</f>
        <v>PT  is obliged to use BBM subsidized type solar type list of  websites</v>
      </c>
    </row>
    <row r="1706" spans="1:2" x14ac:dyDescent="0.2">
      <c r="A1706" s="1" t="s">
        <v>3755</v>
      </c>
      <c r="B1706" s="1" t="str">
        <f ca="1">IFERROR(__xludf.DUMFUNCTION("GOOGLETRANSLATE(A1760,""id"",""en"")"),"no hrs from  gaes list July remember the list of bkn boundaries buy services confused gas stations bkl booth offline help you know just calm the good community ")</f>
        <v xml:space="preserve">no hrs from  gaes list July remember the list of bkn boundaries buy services confused gas stations bkl booth offline help you know just calm the good community </v>
      </c>
    </row>
    <row r="1707" spans="1:2" x14ac:dyDescent="0.2">
      <c r="A1707" s="1" t="s">
        <v>3756</v>
      </c>
      <c r="B1707" s="1" t="str">
        <f ca="1">IFERROR(__xludf.DUMFUNCTION("GOOGLETRANSLATE(A1761,""id"",""en"")"),"both  can not be easy or not  cellphone in the list of the gas gas station web is also both offline to help people who do not understand July the list of gaes bkn limits huh")</f>
        <v>both  can not be easy or not  cellphone in the list of the gas gas station web is also both offline to help people who do not understand July the list of gaes bkn limits huh</v>
      </c>
    </row>
    <row r="1708" spans="1:2" x14ac:dyDescent="0.2">
      <c r="A1708" s="1" t="s">
        <v>2968</v>
      </c>
      <c r="B1708" s="1" t="str">
        <f ca="1">IFERROR(__xludf.DUMFUNCTION("GOOGLETRANSLATE(A1762,""id"",""en"")")," Code Qr  for Fuel Fuel Fuel")</f>
        <v xml:space="preserve"> Code Qr  for Fuel Fuel Fuel</v>
      </c>
    </row>
    <row r="1709" spans="1:2" x14ac:dyDescent="0.2">
      <c r="A1709" s="1" t="s">
        <v>3757</v>
      </c>
      <c r="B1709" s="1" t="str">
        <f ca="1">IFERROR(__xludf.DUMFUNCTION("GOOGLETRANSLATE(A1763,""id"",""en"")"),"PT  is obliged to use BBM subsidized type Pertalite Solar List List of  July Website")</f>
        <v>PT  is obliged to use BBM subsidized type Pertalite Solar List List of  July Website</v>
      </c>
    </row>
    <row r="1710" spans="1:2" x14ac:dyDescent="0.2">
      <c r="A1710" s="1" t="s">
        <v>3758</v>
      </c>
      <c r="B1710" s="1" t="str">
        <f ca="1">IFERROR(__xludf.DUMFUNCTION("GOOGLETRANSLATE(A1764,""id"",""en"")"),"JULY BUY PERTALITE  LIST LOOK LOOK TO MRUTH")</f>
        <v>JULY BUY PERTALITE  LIST LOOK LOOK TO MRUTH</v>
      </c>
    </row>
    <row r="1711" spans="1:2" x14ac:dyDescent="0.2">
      <c r="A1711" s="1" t="s">
        <v>3759</v>
      </c>
      <c r="B1711" s="1" t="str">
        <f ca="1">IFERROR(__xludf.DUMFUNCTION("GOOGLETRANSLATE(A1765,""id"",""en"")"),"you know the danger gas station cell phone since the  application is truly a democratic system.")</f>
        <v>you know the danger gas station cell phone since the  application is truly a democratic system.</v>
      </c>
    </row>
    <row r="1712" spans="1:2" x14ac:dyDescent="0.2">
      <c r="A1712" s="1" t="s">
        <v>975</v>
      </c>
      <c r="B1712" s="1" t="str">
        <f ca="1">IFERROR(__xludf.DUMFUNCTION("GOOGLETRANSLATE(A1766,""id"",""en"")"),"This is good, , the public is up to the list of July, the registration is to remember the list of easy limits to buy BBM, not using HP GPP Printout QRCode GAES")</f>
        <v>This is good, , the public is up to the list of July, the registration is to remember the list of easy limits to buy BBM, not using HP GPP Printout QRCode GAES</v>
      </c>
    </row>
    <row r="1713" spans="1:2" x14ac:dyDescent="0.2">
      <c r="A1713" s="1" t="s">
        <v>98</v>
      </c>
      <c r="B1713" s="1" t="str">
        <f ca="1">IFERROR(__xludf.DUMFUNCTION("GOOGLETRANSLATE(A1767,""id"",""en"")"),"Fast Lesiat Pertamax Turbo taste sensation of acceleration of great engine performance")</f>
        <v>Fast Lesiat Pertamax Turbo taste sensation of acceleration of great engine performance</v>
      </c>
    </row>
    <row r="1714" spans="1:2" x14ac:dyDescent="0.2">
      <c r="A1714" s="1" t="s">
        <v>3760</v>
      </c>
      <c r="B1714" s="1" t="str">
        <f ca="1">IFERROR(__xludf.DUMFUNCTION("GOOGLETRANSLATE(A1768,""id"",""en"")"),"still use the application to buy pertalite applications just not  ")</f>
        <v xml:space="preserve">still use the application to buy pertalite applications just not  </v>
      </c>
    </row>
    <row r="1715" spans="1:2" x14ac:dyDescent="0.2">
      <c r="A1715" s="1" t="s">
        <v>976</v>
      </c>
      <c r="B1715" s="1" t="str">
        <f ca="1">IFERROR(__xludf.DUMFUNCTION("GOOGLETRANSLATE(A1769,""id"",""en"")"),"record gaes juli list of bkn province border bbm subsidized saradis do not use cellphones too spbinya help people who do not understand  anticipate gaes")</f>
        <v>record gaes juli list of bkn province border bbm subsidized saradis do not use cellphones too spbinya help people who do not understand  anticipate gaes</v>
      </c>
    </row>
    <row r="1716" spans="1:2" x14ac:dyDescent="0.2">
      <c r="A1716" s="1" t="s">
        <v>3761</v>
      </c>
      <c r="B1716" s="1" t="str">
        <f ca="1">IFERROR(__xludf.DUMFUNCTION("GOOGLETRANSLATE(A1770,""id"",""en"")"),"The suffering of the HP battery dropped the house needs to care about the  protected")</f>
        <v>The suffering of the HP battery dropped the house needs to care about the  protected</v>
      </c>
    </row>
    <row r="1717" spans="1:2" x14ac:dyDescent="0.2">
      <c r="A1717" s="1" t="s">
        <v>3762</v>
      </c>
      <c r="B1717" s="1" t="str">
        <f ca="1">IFERROR(__xludf.DUMFUNCTION("GOOGLETRANSLATE(A1771,""id"",""en"")"),"Pertalite Solar people use  to buy gas kg broke up")</f>
        <v>Pertalite Solar people use  to buy gas kg broke up</v>
      </c>
    </row>
    <row r="1718" spans="1:2" x14ac:dyDescent="0.2">
      <c r="A1718" s="1" t="s">
        <v>3763</v>
      </c>
      <c r="B1718" s="1" t="str">
        <f ca="1">IFERROR(__xludf.DUMFUNCTION("GOOGLETRANSLATE(A1772,""id"",""en"")"),"Check out the list of July, not using a cellphone with the provincial  application, yes, 's fuel subsidy effort is gaes, not using a barcode printout that after validation")</f>
        <v>Check out the list of July, not using a cellphone with the provincial  application, yes, 's fuel subsidy effort is gaes, not using a barcode printout that after validation</v>
      </c>
    </row>
    <row r="1719" spans="1:2" x14ac:dyDescent="0.2">
      <c r="A1719" s="1" t="s">
        <v>3764</v>
      </c>
      <c r="B1719" s="1" t="str">
        <f ca="1">IFERROR(__xludf.DUMFUNCTION("GOOGLETRANSLATE(A1773,""id"",""en"")")," is difficult for the people to buy BBM subsidies for public subsidies for smartphone subsidized fuel for access to  applications Socialization of educational education is the system.")</f>
        <v xml:space="preserve"> is difficult for the people to buy BBM subsidies for public subsidies for smartphone subsidized fuel for access to  applications Socialization of educational education is the system.</v>
      </c>
    </row>
    <row r="1720" spans="1:2" x14ac:dyDescent="0.2">
      <c r="A1720" s="1" t="s">
        <v>3765</v>
      </c>
      <c r="B1720" s="1" t="str">
        <f ca="1">IFERROR(__xludf.DUMFUNCTION("GOOGLETRANSLATE(A1774,""id"",""en"")"),"Complete Tutorial Bro Donlot Process Click Cancel then Close the Play Store Application Open  New Appears Room Reviewing Room")</f>
        <v>Complete Tutorial Bro Donlot Process Click Cancel then Close the Play Store Application Open  New Appears Room Reviewing Room</v>
      </c>
    </row>
    <row r="1721" spans="1:2" x14ac:dyDescent="0.2">
      <c r="A1721" s="1" t="s">
        <v>2522</v>
      </c>
      <c r="B1721" s="1" t="str">
        <f ca="1">IFERROR(__xludf.DUMFUNCTION("GOOGLETRANSLATE(A1775,""id"",""en"")"),"opponent the  kawan application")</f>
        <v>opponent the  kawan application</v>
      </c>
    </row>
    <row r="1722" spans="1:2" x14ac:dyDescent="0.2">
      <c r="A1722" s="1" t="s">
        <v>3766</v>
      </c>
      <c r="B1722" s="1" t="str">
        <f ca="1">IFERROR(__xludf.DUMFUNCTION("GOOGLETRANSLATE(A1776,""id"",""en"")")," is definitely a week evaluation for ")</f>
        <v xml:space="preserve"> is definitely a week evaluation for </v>
      </c>
    </row>
    <row r="1723" spans="1:2" x14ac:dyDescent="0.2">
      <c r="A1723" s="1" t="s">
        <v>3767</v>
      </c>
      <c r="B1723" s="1" t="str">
        <f ca="1">IFERROR(__xludf.DUMFUNCTION("GOOGLETRANSLATE(A1777,""id"",""en"")")," Application Video Reviewed Ugly Google Play Citizens")</f>
        <v xml:space="preserve"> Application Video Reviewed Ugly Google Play Citizens</v>
      </c>
    </row>
    <row r="1724" spans="1:2" x14ac:dyDescent="0.2">
      <c r="A1724" s="1" t="s">
        <v>3768</v>
      </c>
      <c r="B1724" s="1" t="str">
        <f ca="1">IFERROR(__xludf.DUMFUNCTION("GOOGLETRANSLATE(A1778,""id"",""en"")")," Linkaja Cost of People's Administration Please Check Wag Curhatan")</f>
        <v xml:space="preserve"> Linkaja Cost of People's Administration Please Check Wag Curhatan</v>
      </c>
    </row>
    <row r="1725" spans="1:2" x14ac:dyDescent="0.2">
      <c r="A1725" s="1" t="s">
        <v>3769</v>
      </c>
      <c r="B1725" s="1" t="str">
        <f ca="1">IFERROR(__xludf.DUMFUNCTION("GOOGLETRANSLATE(A1779,""id"",""en"")"),"Understanding Love Valid Information Salur Salur Subsidized Community Subsidies from  Sasar Via  Let's Check the List")</f>
        <v>Understanding Love Valid Information Salur Salur Subsidized Community Subsidies from  Sasar Via  Let's Check the List</v>
      </c>
    </row>
    <row r="1726" spans="1:2" x14ac:dyDescent="0.2">
      <c r="A1726" s="1" t="s">
        <v>3770</v>
      </c>
      <c r="B1726" s="1" t="str">
        <f ca="1">IFERROR(__xludf.DUMFUNCTION("GOOGLETRANSLATE(A1780,""id"",""en"")"),"Implementation of BBM BUY BUY SUBSIDI TYPE PERTALITE SOLAR  APPLICATION LAKU JAVA ISLAND")</f>
        <v>Implementation of BBM BUY BUY SUBSIDI TYPE PERTALITE SOLAR  APPLICATION LAKU JAVA ISLAND</v>
      </c>
    </row>
    <row r="1727" spans="1:2" x14ac:dyDescent="0.2">
      <c r="A1727" s="1" t="s">
        <v>3771</v>
      </c>
      <c r="B1727" s="1" t="str">
        <f ca="1">IFERROR(__xludf.DUMFUNCTION("GOOGLETRANSLATE(A1781,""id"",""en"")"),"Blum Mandatory Vaccine Bal Protecting Application Use Ehac with Barcode The application ehac has entered the Protection  Banking Nyusul Include Protection")</f>
        <v>Blum Mandatory Vaccine Bal Protecting Application Use Ehac with Barcode The application ehac has entered the Protection  Banking Nyusul Include Protection</v>
      </c>
    </row>
    <row r="1728" spans="1:2" x14ac:dyDescent="0.2">
      <c r="A1728" s="1" t="s">
        <v>3772</v>
      </c>
      <c r="B1728" s="1" t="str">
        <f ca="1">IFERROR(__xludf.DUMFUNCTION("GOOGLETRANSLATE(A1782,""id"",""en"")"),"Ordinary Certainly aiming for Fams so the world of digital marketing of course the objectives are thinking about viral  ups")</f>
        <v>Ordinary Certainly aiming for Fams so the world of digital marketing of course the objectives are thinking about viral  ups</v>
      </c>
    </row>
    <row r="1729" spans="1:2" x14ac:dyDescent="0.2">
      <c r="A1729" s="1" t="s">
        <v>3767</v>
      </c>
      <c r="B1729" s="1" t="str">
        <f ca="1">IFERROR(__xludf.DUMFUNCTION("GOOGLETRANSLATE(A1783,""id"",""en"")")," Application Video Reviewed Ugly Google Play Citizens")</f>
        <v xml:space="preserve"> Application Video Reviewed Ugly Google Play Citizens</v>
      </c>
    </row>
    <row r="1730" spans="1:2" x14ac:dyDescent="0.2">
      <c r="A1730" s="1" t="s">
        <v>3770</v>
      </c>
      <c r="B1730" s="1" t="str">
        <f ca="1">IFERROR(__xludf.DUMFUNCTION("GOOGLETRANSLATE(A1784,""id"",""en"")"),"Implementation of BBM BUY BUY SUBSIDI TYPE PERTALITE SOLAR  APPLICATION LAKU JAVA ISLAND")</f>
        <v>Implementation of BBM BUY BUY SUBSIDI TYPE PERTALITE SOLAR  APPLICATION LAKU JAVA ISLAND</v>
      </c>
    </row>
    <row r="1731" spans="1:2" x14ac:dyDescent="0.2">
      <c r="A1731" s="1" t="s">
        <v>977</v>
      </c>
      <c r="B1731" s="1" t="str">
        <f ca="1">IFERROR(__xludf.DUMFUNCTION("GOOGLETRANSLATE(A1785,""id"",""en"")")," Test Pertalite Solar Trial for the List of Jokowi IndonesiaMaju")</f>
        <v xml:space="preserve"> Test Pertalite Solar Trial for the List of Jokowi IndonesiaMaju</v>
      </c>
    </row>
    <row r="1732" spans="1:2" x14ac:dyDescent="0.2">
      <c r="A1732" s="1" t="s">
        <v>977</v>
      </c>
      <c r="B1732" s="1" t="str">
        <f ca="1">IFERROR(__xludf.DUMFUNCTION("GOOGLETRANSLATE(A1786,""id"",""en"")")," Test Pertalite Solar Trial for the List of Jokowi IndonesiaMaju")</f>
        <v xml:space="preserve"> Test Pertalite Solar Trial for the List of Jokowi IndonesiaMaju</v>
      </c>
    </row>
    <row r="1733" spans="1:2" x14ac:dyDescent="0.2">
      <c r="A1733" s="1" t="s">
        <v>3773</v>
      </c>
      <c r="B1733" s="1" t="str">
        <f ca="1">IFERROR(__xludf.DUMFUNCTION("GOOGLETRANSLATE(A1787,""id"",""en"")"),"Trial Buy PERTALITE  APPLICATION")</f>
        <v>Trial Buy PERTALITE  APPLICATION</v>
      </c>
    </row>
    <row r="1734" spans="1:2" x14ac:dyDescent="0.2">
      <c r="A1734" s="1" t="s">
        <v>3774</v>
      </c>
      <c r="B1734" s="1" t="str">
        <f ca="1">IFERROR(__xludf.DUMFUNCTION("GOOGLETRANSLATE(A1788,""id"",""en"")")," Buy LPG Kg ")</f>
        <v xml:space="preserve"> Buy LPG Kg </v>
      </c>
    </row>
    <row r="1735" spans="1:2" x14ac:dyDescent="0.2">
      <c r="A1735" s="1" t="s">
        <v>3775</v>
      </c>
      <c r="B1735" s="1" t="str">
        <f ca="1">IFERROR(__xludf.DUMFUNCTION("GOOGLETRANSLATE(A1789,""id"",""en"")"),"Pertalite Solar Buy LPG Tube Kilogram List of  Applications")</f>
        <v>Pertalite Solar Buy LPG Tube Kilogram List of  Applications</v>
      </c>
    </row>
    <row r="1736" spans="1:2" x14ac:dyDescent="0.2">
      <c r="A1736" s="1" t="s">
        <v>3776</v>
      </c>
      <c r="B1736" s="1" t="str">
        <f ca="1">IFERROR(__xludf.DUMFUNCTION("GOOGLETRANSLATE(A1790,""id"",""en"")"),"Consumer Loss Admin Cost Transfer Linkaja Cost of the  BUMN Untiaha Platform")</f>
        <v>Consumer Loss Admin Cost Transfer Linkaja Cost of the  BUMN Untiaha Platform</v>
      </c>
    </row>
    <row r="1737" spans="1:2" x14ac:dyDescent="0.2">
      <c r="A1737" s="1" t="s">
        <v>99</v>
      </c>
      <c r="B1737" s="1" t="str">
        <f ca="1">IFERROR(__xludf.DUMFUNCTION("GOOGLETRANSLATE(A1791,""id"",""en"")"),"Buy BBM Receipt Driver Reasoning business prevent mandatory transactions and RFID headline cards")</f>
        <v>Buy BBM Receipt Driver Reasoning business prevent mandatory transactions and RFID headline cards</v>
      </c>
    </row>
    <row r="1738" spans="1:2" x14ac:dyDescent="0.2">
      <c r="A1738" s="1" t="s">
        <v>3777</v>
      </c>
      <c r="B1738" s="1" t="str">
        <f ca="1">IFERROR(__xludf.DUMFUNCTION("GOOGLETRANSLATE(A1792,""id"",""en"")"),"buy gasoline using  so that you can get points eh gas station that is not damaged")</f>
        <v>buy gasoline using  so that you can get points eh gas station that is not damaged</v>
      </c>
    </row>
    <row r="1739" spans="1:2" x14ac:dyDescent="0.2">
      <c r="A1739" s="1" t="s">
        <v>3778</v>
      </c>
      <c r="B1739" s="1" t="str">
        <f ca="1">IFERROR(__xludf.DUMFUNCTION("GOOGLETRANSLATE(A1793,""id"",""en"")"),"the command is really not afraid of  making mod")</f>
        <v>the command is really not afraid of  making mod</v>
      </c>
    </row>
    <row r="1740" spans="1:2" x14ac:dyDescent="0.2">
      <c r="A1740" s="1" t="s">
        <v>3779</v>
      </c>
      <c r="B1740" s="1" t="str">
        <f ca="1">IFERROR(__xludf.DUMFUNCTION("GOOGLETRANSLATE(A1794,""id"",""en"")"),"Full tank Bengsin Sekmung Rung Nganggo Application  Mobility An Night gas station See")</f>
        <v>Full tank Bengsin Sekmung Rung Nganggo Application  Mobility An Night gas station See</v>
      </c>
    </row>
    <row r="1741" spans="1:2" x14ac:dyDescent="0.2">
      <c r="A1741" s="1" t="s">
        <v>3780</v>
      </c>
      <c r="B1741" s="1" t="str">
        <f ca="1">IFERROR(__xludf.DUMFUNCTION("GOOGLETRANSLATE(A1795,""id"",""en"")"),"Disdagin Industry Office of Bandung City Disdagin Call Motorcycle Motorcycle Application  Fill in Pertalite SPBU   Bandung Pertalite Solar Cekulumedcom")</f>
        <v>Disdagin Industry Office of Bandung City Disdagin Call Motorcycle Motorcycle Application  Fill in Pertalite SPBU   Bandung Pertalite Solar Cekulumedcom</v>
      </c>
    </row>
    <row r="1742" spans="1:2" x14ac:dyDescent="0.2">
      <c r="A1742" s="1" t="s">
        <v>3781</v>
      </c>
      <c r="B1742" s="1" t="str">
        <f ca="1">IFERROR(__xludf.DUMFUNCTION("GOOGLETRANSLATE(A1796,""id"",""en"")")," application for subsidized fuel consumer data functions")</f>
        <v xml:space="preserve"> application for subsidized fuel consumer data functions</v>
      </c>
    </row>
    <row r="1743" spans="1:2" x14ac:dyDescent="0.2">
      <c r="A1743" s="1" t="s">
        <v>3766</v>
      </c>
      <c r="B1743" s="1" t="str">
        <f ca="1">IFERROR(__xludf.DUMFUNCTION("GOOGLETRANSLATE(A1797,""id"",""en"")")," is definitely a week evaluation for ")</f>
        <v xml:space="preserve"> is definitely a week evaluation for </v>
      </c>
    </row>
    <row r="1744" spans="1:2" x14ac:dyDescent="0.2">
      <c r="A1744" s="1" t="s">
        <v>3782</v>
      </c>
      <c r="B1744" s="1" t="str">
        <f ca="1">IFERROR(__xludf.DUMFUNCTION("GOOGLETRANSLATE(A1798,""id"",""en"")"),"Tomorrow Buy BBM Using the  Gas Lubricse Application Kg Kg")</f>
        <v>Tomorrow Buy BBM Using the  Gas Lubricse Application Kg Kg</v>
      </c>
    </row>
    <row r="1745" spans="1:2" x14ac:dyDescent="0.2">
      <c r="A1745" s="1" t="s">
        <v>3783</v>
      </c>
      <c r="B1745" s="1" t="str">
        <f ca="1">IFERROR(__xludf.DUMFUNCTION("GOOGLETRANSLATE(A1799,""id"",""en"")"),"July BBM Pertalite Solar Buy Using  Langgan List of pertami Website")</f>
        <v>July BBM Pertalite Solar Buy Using  Langgan List of pertami Website</v>
      </c>
    </row>
    <row r="1746" spans="1:2" x14ac:dyDescent="0.2">
      <c r="A1746" s="1" t="s">
        <v>3784</v>
      </c>
      <c r="B1746" s="1" t="str">
        <f ca="1">IFERROR(__xludf.DUMFUNCTION("GOOGLETRANSLATE(A1800,""id"",""en"")"),"Terpor for the System List of Pertalite Solar Subsidies The  System Welcomes the Transportation of Manado Fishermen Skepticism")</f>
        <v>Terpor for the System List of Pertalite Solar Subsidies The  System Welcomes the Transportation of Manado Fishermen Skepticism</v>
      </c>
    </row>
    <row r="1747" spans="1:2" x14ac:dyDescent="0.2">
      <c r="A1747" s="1" t="s">
        <v>3713</v>
      </c>
      <c r="B1747" s="1" t="str">
        <f ca="1">IFERROR(__xludf.DUMFUNCTION("GOOGLETRANSLATE(A1801,""id"",""en"")"),"on leaking BBM Golkar legislator subsidies support the list of  application accounts")</f>
        <v>on leaking BBM Golkar legislator subsidies support the list of  application accounts</v>
      </c>
    </row>
    <row r="1748" spans="1:2" x14ac:dyDescent="0.2">
      <c r="A1748" s="1" t="s">
        <v>3785</v>
      </c>
      <c r="B1748" s="1" t="str">
        <f ca="1">IFERROR(__xludf.DUMFUNCTION("GOOGLETRANSLATE(A1802,""id"",""en"")"),"the influence of the city angkot driver  application")</f>
        <v>the influence of the city angkot driver  application</v>
      </c>
    </row>
    <row r="1749" spans="1:2" x14ac:dyDescent="0.2">
      <c r="A1749" s="1" t="s">
        <v>3786</v>
      </c>
      <c r="B1749" s="1" t="str">
        <f ca="1">IFERROR(__xludf.DUMFUNCTION("GOOGLETRANSLATE(A1803,""id"",""en"")"),"hello gas station with a gas station no address jl kartini hammer contents using  apps alas tool really low to get the city of the city the problem operator system is still gaptek")</f>
        <v>hello gas station with a gas station no address jl kartini hammer contents using  apps alas tool really low to get the city of the city the problem operator system is still gaptek</v>
      </c>
    </row>
    <row r="1750" spans="1:2" x14ac:dyDescent="0.2">
      <c r="A1750" s="1" t="s">
        <v>3757</v>
      </c>
      <c r="B1750" s="1" t="str">
        <f ca="1">IFERROR(__xludf.DUMFUNCTION("GOOGLETRANSLATE(A1804,""id"",""en"")"),"PT  is obliged to use BBM subsidized type Pertalite Solar List List of  July Website")</f>
        <v>PT  is obliged to use BBM subsidized type Pertalite Solar List List of  July Website</v>
      </c>
    </row>
    <row r="1751" spans="1:2" x14ac:dyDescent="0.2">
      <c r="A1751" s="1" t="s">
        <v>3787</v>
      </c>
      <c r="B1751" s="1" t="str">
        <f ca="1">IFERROR(__xludf.DUMFUNCTION("GOOGLETRANSLATE(A1805,""id"",""en"")"),"kmrn I call  sypiped like the application is not practical?")</f>
        <v>kmrn I call  sypiped like the application is not practical?</v>
      </c>
    </row>
    <row r="1752" spans="1:2" x14ac:dyDescent="0.2">
      <c r="A1752" s="1" t="s">
        <v>3788</v>
      </c>
      <c r="B1752" s="1" t="str">
        <f ca="1">IFERROR(__xludf.DUMFUNCTION("GOOGLETRANSLATE(A1806,""id"",""en"")")," plans to buy lpg kg kg  application director of PT  Patra Niaga Mars Ega Legowo Regional Market Director Mars Ega Legowo Plan to Press Consumption of LPG Kg Subsidized LPG Kg Kg Kg Kg")</f>
        <v xml:space="preserve"> plans to buy lpg kg kg  application director of PT  Patra Niaga Mars Ega Legowo Regional Market Director Mars Ega Legowo Plan to Press Consumption of LPG Kg Subsidized LPG Kg Kg Kg Kg</v>
      </c>
    </row>
    <row r="1753" spans="1:2" x14ac:dyDescent="0.2">
      <c r="A1753" s="1" t="s">
        <v>3789</v>
      </c>
      <c r="B1753" s="1" t="str">
        <f ca="1">IFERROR(__xludf.DUMFUNCTION("GOOGLETRANSLATE(A1807,""id"",""en"")"),"Mandatory Roda Roda News News BBM Pertalite Solar Pasur Petamina  views views Jogja Kumpar Kumparannews")</f>
        <v>Mandatory Roda Roda News News BBM Pertalite Solar Pasur Petamina  views views Jogja Kumpar Kumparannews</v>
      </c>
    </row>
    <row r="1754" spans="1:2" x14ac:dyDescent="0.2">
      <c r="A1754" s="1" t="s">
        <v>3790</v>
      </c>
      <c r="B1754" s="1" t="str">
        <f ca="1">IFERROR(__xludf.DUMFUNCTION("GOOGLETRANSLATE(A1808,""id"",""en"")"),"Google Store Please Boycott  Plis")</f>
        <v>Google Store Please Boycott  Plis</v>
      </c>
    </row>
    <row r="1755" spans="1:2" x14ac:dyDescent="0.2">
      <c r="A1755" s="1" t="s">
        <v>100</v>
      </c>
      <c r="B1755" s="1" t="str">
        <f ca="1">IFERROR(__xludf.DUMFUNCTION("GOOGLETRANSLATE(A1809,""id"",""en"")"),"the people have suffered complicated people who are independent of the people")</f>
        <v>the people have suffered complicated people who are independent of the people</v>
      </c>
    </row>
    <row r="1756" spans="1:2" x14ac:dyDescent="0.2">
      <c r="A1756" s="1" t="s">
        <v>3791</v>
      </c>
      <c r="B1756" s="1" t="str">
        <f ca="1">IFERROR(__xludf.DUMFUNCTION("GOOGLETRANSLATE(A1810,""id"",""en"")"),"Motorcycle Kendara Must Use  Buy Pertalite")</f>
        <v>Motorcycle Kendara Must Use  Buy Pertalite</v>
      </c>
    </row>
    <row r="1757" spans="1:2" x14ac:dyDescent="0.2">
      <c r="A1757" s="1" t="s">
        <v>3792</v>
      </c>
      <c r="B1757" s="1" t="str">
        <f ca="1">IFERROR(__xludf.DUMFUNCTION("GOOGLETRANSLATE(A1811,""id"",""en"")"),"This is delicious if jem kendara doesn't replace the contents of the gasoline or not  hehebe")</f>
        <v>This is delicious if jem kendara doesn't replace the contents of the gasoline or not  hehebe</v>
      </c>
    </row>
    <row r="1758" spans="1:2" x14ac:dyDescent="0.2">
      <c r="A1758" s="1" t="s">
        <v>3793</v>
      </c>
      <c r="B1758" s="1" t="str">
        <f ca="1">IFERROR(__xludf.DUMFUNCTION("GOOGLETRANSLATE(A1812,""id"",""en"")"),"Favors Kalang Gas LPG Kg Selling  Society")</f>
        <v>Favors Kalang Gas LPG Kg Selling  Society</v>
      </c>
    </row>
    <row r="1759" spans="1:2" x14ac:dyDescent="0.2">
      <c r="A1759" s="1" t="s">
        <v>3794</v>
      </c>
      <c r="B1759" s="1" t="str">
        <f ca="1">IFERROR(__xludf.DUMFUNCTION("GOOGLETRANSLATE(A1813,""id"",""en"")"),"Polemic Buy Fuel Pertalite Solar Using  Kemal Palevi If the SPBU is exposed to pilgrims")</f>
        <v>Polemic Buy Fuel Pertalite Solar Using  Kemal Palevi If the SPBU is exposed to pilgrims</v>
      </c>
    </row>
    <row r="1760" spans="1:2" x14ac:dyDescent="0.2">
      <c r="A1760" s="1" t="s">
        <v>3795</v>
      </c>
      <c r="B1760" s="1" t="str">
        <f ca="1">IFERROR(__xludf.DUMFUNCTION("GOOGLETRANSLATE(A1814,""id"",""en"")"),"Pertalite Solar Buy Lpg Gas Kg  Check List")</f>
        <v>Pertalite Solar Buy Lpg Gas Kg  Check List</v>
      </c>
    </row>
    <row r="1761" spans="1:2" x14ac:dyDescent="0.2">
      <c r="A1761" s="1" t="s">
        <v>3796</v>
      </c>
      <c r="B1761" s="1" t="str">
        <f ca="1">IFERROR(__xludf.DUMFUNCTION("GOOGLETRANSLATE(A1815,""id"",""en"")"),"Download the Stonks Play Store App Store App Store Store Store Store Application")</f>
        <v>Download the Stonks Play Store App Store App Store Store Store Store Application</v>
      </c>
    </row>
    <row r="1762" spans="1:2" x14ac:dyDescent="0.2">
      <c r="A1762" s="1" t="s">
        <v>3797</v>
      </c>
      <c r="B1762" s="1" t="str">
        <f ca="1">IFERROR(__xludf.DUMFUNCTION("GOOGLETRANSLATE(A1816,""id"",""en"")"),"Fortunately the  Guna Point application")</f>
        <v>Fortunately the  Guna Point application</v>
      </c>
    </row>
    <row r="1763" spans="1:2" x14ac:dyDescent="0.2">
      <c r="A1763" s="1" t="s">
        <v>3798</v>
      </c>
      <c r="B1763" s="1" t="str">
        <f ca="1">IFERROR(__xludf.DUMFUNCTION("GOOGLETRANSLATE(A1817,""id"",""en"")"),"Discourse for the Application of  Kendara Roda")</f>
        <v>Discourse for the Application of  Kendara Roda</v>
      </c>
    </row>
    <row r="1764" spans="1:2" x14ac:dyDescent="0.2">
      <c r="A1764" s="1" t="s">
        <v>3407</v>
      </c>
      <c r="B1764" s="1" t="str">
        <f ca="1">IFERROR(__xludf.DUMFUNCTION("GOOGLETRANSLATE(A1818,""id"",""en"")"),"Motorcycle Kendara Must Buy Pertalite Using ")</f>
        <v xml:space="preserve">Motorcycle Kendara Must Buy Pertalite Using </v>
      </c>
    </row>
    <row r="1765" spans="1:2" x14ac:dyDescent="0.2">
      <c r="A1765" s="1" t="s">
        <v>3799</v>
      </c>
      <c r="B1765" s="1" t="str">
        <f ca="1">IFERROR(__xludf.DUMFUNCTION("GOOGLETRANSLATE(A1819,""id"",""en"")"),"Buy Migor must use KTP, buy pertalite must use the  application if the people are super tight turn to the corrupt babat amp.")</f>
        <v>Buy Migor must use KTP, buy pertalite must use the  application if the people are super tight turn to the corrupt babat amp.</v>
      </c>
    </row>
    <row r="1766" spans="1:2" x14ac:dyDescent="0.2">
      <c r="A1766" s="1" t="s">
        <v>3800</v>
      </c>
      <c r="B1766" s="1" t="str">
        <f ca="1">IFERROR(__xludf.DUMFUNCTION("GOOGLETRANSLATE(A1820,""id"",""en"")"),"JULY BUY PERTALITE SOLAR LIST OF ")</f>
        <v xml:space="preserve">JULY BUY PERTALITE SOLAR LIST OF </v>
      </c>
    </row>
    <row r="1767" spans="1:2" x14ac:dyDescent="0.2">
      <c r="A1767" s="1" t="s">
        <v>101</v>
      </c>
      <c r="B1767" s="1" t="str">
        <f ca="1">IFERROR(__xludf.DUMFUNCTION("GOOGLETRANSLATE(A1821,""id"",""en"")"),"MINTRINMARTPHONE EPISODE NO SPBU Cellphone Makes Burns Came")</f>
        <v>MINTRINMARTPHONE EPISODE NO SPBU Cellphone Makes Burns Came</v>
      </c>
    </row>
    <row r="1768" spans="1:2" x14ac:dyDescent="0.2">
      <c r="A1768" s="1" t="s">
        <v>3801</v>
      </c>
      <c r="B1768" s="1" t="str">
        <f ca="1">IFERROR(__xludf.DUMFUNCTION("GOOGLETRANSLATE(A1822,""id"",""en"")"),"Wait for money back than filling gasoline, see the price of cashless price too than  cash")</f>
        <v>Wait for money back than filling gasoline, see the price of cashless price too than  cash</v>
      </c>
    </row>
    <row r="1769" spans="1:2" x14ac:dyDescent="0.2">
      <c r="A1769" s="1" t="s">
        <v>3802</v>
      </c>
      <c r="B1769" s="1" t="str">
        <f ca="1">IFERROR(__xludf.DUMFUNCTION("GOOGLETRANSLATE(A1823,""id"",""en"")"),"the ")</f>
        <v xml:space="preserve">the </v>
      </c>
    </row>
    <row r="1770" spans="1:2" x14ac:dyDescent="0.2">
      <c r="A1770" s="1" t="s">
        <v>3803</v>
      </c>
      <c r="B1770" s="1" t="str">
        <f ca="1">IFERROR(__xludf.DUMFUNCTION("GOOGLETRANSLATE(A1824,""id"",""en"")"),"For motorbikes using the  application, buy pertalite")</f>
        <v>For motorbikes using the  application, buy pertalite</v>
      </c>
    </row>
    <row r="1771" spans="1:2" x14ac:dyDescent="0.2">
      <c r="A1771" s="1" t="s">
        <v>3804</v>
      </c>
      <c r="B1771" s="1" t="str">
        <f ca="1">IFERROR(__xludf.DUMFUNCTION("GOOGLETRANSLATE(A1825,""id"",""en"")"),"Buy Pertalite Solar List  July Needs a Complete Kendara List Check")</f>
        <v>Buy Pertalite Solar List  July Needs a Complete Kendara List Check</v>
      </c>
    </row>
    <row r="1772" spans="1:2" x14ac:dyDescent="0.2">
      <c r="A1772" s="1" t="s">
        <v>3805</v>
      </c>
      <c r="B1772" s="1" t="str">
        <f ca="1">IFERROR(__xludf.DUMFUNCTION("GOOGLETRANSLATE(A1826,""id"",""en"")"),"Secretary Corporate  Irto Ginting Point SPBU Location Layan Layl List of BUY PERTALITE SOLAR via the  website")</f>
        <v>Secretary Corporate  Irto Ginting Point SPBU Location Layan Layl List of BUY PERTALITE SOLAR via the  website</v>
      </c>
    </row>
    <row r="1773" spans="1:2" x14ac:dyDescent="0.2">
      <c r="A1773" s="1" t="s">
        <v>3806</v>
      </c>
      <c r="B1773" s="1" t="str">
        <f ca="1">IFERROR(__xludf.DUMFUNCTION("GOOGLETRANSLATE(A1827,""id"",""en"")"),"Tomorrow Bandung residents buy Pertalite Solar using  Check")</f>
        <v>Tomorrow Bandung residents buy Pertalite Solar using  Check</v>
      </c>
    </row>
    <row r="1774" spans="1:2" x14ac:dyDescent="0.2">
      <c r="A1774" s="1" t="s">
        <v>3807</v>
      </c>
      <c r="B1774" s="1" t="str">
        <f ca="1">IFERROR(__xludf.DUMFUNCTION("GOOGLETRANSLATE(A1828,""id"",""en"")"),"money onlen gin tu uda age technology and mass adoption Indonesia now now complaining about cashless  a long queue solution")</f>
        <v>money onlen gin tu uda age technology and mass adoption Indonesia now now complaining about cashless  a long queue solution</v>
      </c>
    </row>
    <row r="1775" spans="1:2" x14ac:dyDescent="0.2">
      <c r="A1775" s="1" t="s">
        <v>3808</v>
      </c>
      <c r="B1775" s="1" t="str">
        <f ca="1">IFERROR(__xludf.DUMFUNCTION("GOOGLETRANSLATE(A1829,""id"",""en"")"),"the urgency is to buy using  region is not used by Android BBM Solar Pertalite Rice")</f>
        <v>the urgency is to buy using  region is not used by Android BBM Solar Pertalite Rice</v>
      </c>
    </row>
    <row r="1776" spans="1:2" x14ac:dyDescent="0.2">
      <c r="A1776" s="1" t="s">
        <v>3809</v>
      </c>
      <c r="B1776" s="1" t="str">
        <f ca="1">IFERROR(__xludf.DUMFUNCTION("GOOGLETRANSLATE(A1830,""id"",""en"")")," application motorbike buy Pertalite Disdagin Bandung City")</f>
        <v xml:space="preserve"> application motorbike buy Pertalite Disdagin Bandung City</v>
      </c>
    </row>
    <row r="1777" spans="1:2" x14ac:dyDescent="0.2">
      <c r="A1777" s="1" t="s">
        <v>3810</v>
      </c>
      <c r="B1777" s="1" t="str">
        <f ca="1">IFERROR(__xludf.DUMFUNCTION("GOOGLETRANSLATE(A1831,""id"",""en"")")," Maintaining Sasar Fuel Subsidies via ")</f>
        <v xml:space="preserve"> Maintaining Sasar Fuel Subsidies via </v>
      </c>
    </row>
    <row r="1778" spans="1:2" x14ac:dyDescent="0.2">
      <c r="A1778" s="1" t="s">
        <v>3811</v>
      </c>
      <c r="B1778" s="1" t="str">
        <f ca="1">IFERROR(__xludf.DUMFUNCTION("GOOGLETRANSLATE(A1832,""id"",""en"")"),"Forced Uninstall Simontok so that the download room for ")</f>
        <v xml:space="preserve">Forced Uninstall Simontok so that the download room for </v>
      </c>
    </row>
    <row r="1779" spans="1:2" x14ac:dyDescent="0.2">
      <c r="A1779" s="1" t="s">
        <v>3812</v>
      </c>
      <c r="B1779" s="1" t="str">
        <f ca="1">IFERROR(__xludf.DUMFUNCTION("GOOGLETRANSLATE(A1833,""id"",""en"")"),"Support the new  therapy so that the right to get the right to get according to ")</f>
        <v xml:space="preserve">Support the new  therapy so that the right to get the right to get according to </v>
      </c>
    </row>
    <row r="1780" spans="1:2" x14ac:dyDescent="0.2">
      <c r="A1780" s="1" t="s">
        <v>3813</v>
      </c>
      <c r="B1780" s="1" t="str">
        <f ca="1">IFERROR(__xludf.DUMFUNCTION("GOOGLETRANSLATE(A1834,""id"",""en"")"),"orders for people's plans to buy lpg kg  applications for Salur subsidized LPG Kg Sasar CNNIndonesia")</f>
        <v>orders for people's plans to buy lpg kg  applications for Salur subsidized LPG Kg Sasar CNNIndonesia</v>
      </c>
    </row>
    <row r="1781" spans="1:2" x14ac:dyDescent="0.2">
      <c r="A1781" s="1" t="s">
        <v>3814</v>
      </c>
      <c r="B1781" s="1" t="str">
        <f ca="1">IFERROR(__xludf.DUMFUNCTION("GOOGLETRANSLATE(A1835,""id"",""en"")"),"who complained about using the  pertalite application high school protected sosmed cooking oil")</f>
        <v>who complained about using the  pertalite application high school protected sosmed cooking oil</v>
      </c>
    </row>
    <row r="1782" spans="1:2" x14ac:dyDescent="0.2">
      <c r="A1782" s="1" t="s">
        <v>3815</v>
      </c>
      <c r="B1782" s="1" t="str">
        <f ca="1">IFERROR(__xludf.DUMFUNCTION("GOOGLETRANSLATE(A1836,""id"",""en"")"),"Good Job  New Terpat Salahan Subsidies via ")</f>
        <v xml:space="preserve">Good Job  New Terpat Salahan Subsidies via </v>
      </c>
    </row>
    <row r="1783" spans="1:2" x14ac:dyDescent="0.2">
      <c r="A1783" s="1" t="s">
        <v>3816</v>
      </c>
      <c r="B1783" s="1" t="str">
        <f ca="1">IFERROR(__xludf.DUMFUNCTION("GOOGLETRANSLATE(A1837,""id"",""en"")"),"Monitor gas stations queuing up to anticipate tomorrow using the  application")</f>
        <v>Monitor gas stations queuing up to anticipate tomorrow using the  application</v>
      </c>
    </row>
    <row r="1784" spans="1:2" x14ac:dyDescent="0.2">
      <c r="A1784" s="1" t="s">
        <v>3817</v>
      </c>
      <c r="B1784" s="1" t="str">
        <f ca="1">IFERROR(__xludf.DUMFUNCTION("GOOGLETRANSLATE(A1838,""id"",""en"")"),"Support  's steps to protect consumer rights")</f>
        <v>Support  's steps to protect consumer rights</v>
      </c>
    </row>
    <row r="1785" spans="1:2" x14ac:dyDescent="0.2">
      <c r="A1785" s="1" t="s">
        <v>3818</v>
      </c>
      <c r="B1785" s="1" t="str">
        <f ca="1">IFERROR(__xludf.DUMFUNCTION("GOOGLETRANSLATE(A1839,""id"",""en"")"),"if gin clear hook ")</f>
        <v xml:space="preserve">if gin clear hook </v>
      </c>
    </row>
    <row r="1786" spans="1:2" x14ac:dyDescent="0.2">
      <c r="A1786" s="1" t="s">
        <v>3524</v>
      </c>
      <c r="B1786" s="1" t="str">
        <f ca="1">IFERROR(__xludf.DUMFUNCTION("GOOGLETRANSLATE(A1840,""id"",""en"")"),"asked why buy pertalite using ")</f>
        <v xml:space="preserve">asked why buy pertalite using </v>
      </c>
    </row>
    <row r="1787" spans="1:2" x14ac:dyDescent="0.2">
      <c r="A1787" s="1" t="s">
        <v>3819</v>
      </c>
      <c r="B1787" s="1" t="str">
        <f ca="1">IFERROR(__xludf.DUMFUNCTION("GOOGLETRANSLATE(A1841,""id"",""en"")"),"Buy Pertalite gasoline using the  Motorbike Application Buy Pertalite Bi gasoline")</f>
        <v>Buy Pertalite gasoline using the  Motorbike Application Buy Pertalite Bi gasoline</v>
      </c>
    </row>
    <row r="1788" spans="1:2" x14ac:dyDescent="0.2">
      <c r="A1788" s="1" t="s">
        <v>3820</v>
      </c>
      <c r="B1788" s="1" t="str">
        <f ca="1">IFERROR(__xludf.DUMFUNCTION("GOOGLETRANSLATE(A1842,""id"",""en"")"),"I was beautiful to categorize luxury cars that were beautiful to subsidized by Indonesian society, obediently using the  application")</f>
        <v>I was beautiful to categorize luxury cars that were beautiful to subsidized by Indonesian society, obediently using the  application</v>
      </c>
    </row>
    <row r="1789" spans="1:2" x14ac:dyDescent="0.2">
      <c r="A1789" s="1" t="s">
        <v>3821</v>
      </c>
      <c r="B1789" s="1" t="str">
        <f ca="1">IFERROR(__xludf.DUMFUNCTION("GOOGLETRANSLATE(A1843,""id"",""en"")"),"OMW Forward Open the  Apk Unlimited Point gas station")</f>
        <v>OMW Forward Open the  Apk Unlimited Point gas station</v>
      </c>
    </row>
    <row r="1790" spans="1:2" x14ac:dyDescent="0.2">
      <c r="A1790" s="1" t="s">
        <v>3822</v>
      </c>
      <c r="B1790" s="1" t="str">
        <f ca="1">IFERROR(__xludf.DUMFUNCTION("GOOGLETRANSLATE(A1844,""id"",""en"")"),"Record the area of ​​residents must use  to buy subsidized fuel")</f>
        <v>Record the area of ​​residents must use  to buy subsidized fuel</v>
      </c>
    </row>
    <row r="1791" spans="1:2" x14ac:dyDescent="0.2">
      <c r="A1791" s="1" t="s">
        <v>3823</v>
      </c>
      <c r="B1791" s="1" t="str">
        <f ca="1">IFERROR(__xludf.DUMFUNCTION("GOOGLETRANSLATE(A1845,""id"",""en"")"),"Buy LPG Kilo Using  Application Install Hp positive Hp Folk Debt commands that are dying")</f>
        <v>Buy LPG Kilo Using  Application Install Hp positive Hp Folk Debt commands that are dying</v>
      </c>
    </row>
    <row r="1792" spans="1:2" x14ac:dyDescent="0.2">
      <c r="A1792" s="1" t="s">
        <v>3824</v>
      </c>
      <c r="B1792" s="1" t="str">
        <f ca="1">IFERROR(__xludf.DUMFUNCTION("GOOGLETRANSLATE(A1846,""id"",""en"")"),"just fill in gasoline  hmm oh why bother the people of ")</f>
        <v xml:space="preserve">just fill in gasoline  hmm oh why bother the people of </v>
      </c>
    </row>
    <row r="1793" spans="1:2" x14ac:dyDescent="0.2">
      <c r="A1793" s="1" t="s">
        <v>3825</v>
      </c>
      <c r="B1793" s="1" t="str">
        <f ca="1">IFERROR(__xludf.DUMFUNCTION("GOOGLETRANSLATE(A1847,""id"",""en"")"),"Buy Pertalite gasoline using the  Motorbike Application Buy Pertalite gasoline queued")</f>
        <v>Buy Pertalite gasoline using the  Motorbike Application Buy Pertalite gasoline queued</v>
      </c>
    </row>
    <row r="1794" spans="1:2" x14ac:dyDescent="0.2">
      <c r="A1794" s="1" t="s">
        <v>3748</v>
      </c>
      <c r="B1794" s="1" t="str">
        <f ca="1">IFERROR(__xludf.DUMFUNCTION("GOOGLETRANSLATE(A1848,""id"",""en"")"),"Forbidding Playing Hp near Gas Station Payment Payment Using  Apps")</f>
        <v>Forbidding Playing Hp near Gas Station Payment Payment Using  Apps</v>
      </c>
    </row>
    <row r="1795" spans="1:2" x14ac:dyDescent="0.2">
      <c r="A1795" s="1" t="s">
        <v>2517</v>
      </c>
      <c r="B1795" s="1" t="str">
        <f ca="1">IFERROR(__xludf.DUMFUNCTION("GOOGLETRANSLATE(A1849,""id"",""en"")"),"Silent Testing Trial Buying LPG Kg Must Register ")</f>
        <v xml:space="preserve">Silent Testing Trial Buying LPG Kg Must Register </v>
      </c>
    </row>
    <row r="1796" spans="1:2" x14ac:dyDescent="0.2">
      <c r="A1796" s="1" t="s">
        <v>3826</v>
      </c>
      <c r="B1796" s="1" t="str">
        <f ca="1">IFERROR(__xludf.DUMFUNCTION("GOOGLETRANSLATE(A1850,""id"",""en"")"),"PT  trial trial Pertalite Solar Application  Friday July Check the City Test Locations Link Red and Whole Gasoline Solar Newsmerahputih Gasoline")</f>
        <v>PT  trial trial Pertalite Solar Application  Friday July Check the City Test Locations Link Red and Whole Gasoline Solar Newsmerahputih Gasoline</v>
      </c>
    </row>
    <row r="1797" spans="1:2" x14ac:dyDescent="0.2">
      <c r="A1797" s="1" t="s">
        <v>3827</v>
      </c>
      <c r="B1797" s="1" t="str">
        <f ca="1">IFERROR(__xludf.DUMFUNCTION("GOOGLETRANSLATE(A1851,""id"",""en"")"),"Response residents of Central Java buy subsidized fuel must use ")</f>
        <v xml:space="preserve">Response residents of Central Java buy subsidized fuel must use </v>
      </c>
    </row>
    <row r="1798" spans="1:2" x14ac:dyDescent="0.2">
      <c r="A1798" s="1" t="s">
        <v>3828</v>
      </c>
      <c r="B1798" s="1" t="str">
        <f ca="1">IFERROR(__xludf.DUMFUNCTION("GOOGLETRANSLATE(A1852,""id"",""en"")"),"Install  Michat smoothly")</f>
        <v>Install  Michat smoothly</v>
      </c>
    </row>
    <row r="1799" spans="1:2" x14ac:dyDescent="0.2">
      <c r="A1799" s="1" t="s">
        <v>3829</v>
      </c>
      <c r="B1799" s="1" t="str">
        <f ca="1">IFERROR(__xludf.DUMFUNCTION("GOOGLETRANSLATE(A1853,""id"",""en"")"),"The wise stage of buying fuel type of solar  pertalite type, Bukittinggi city area, Tanah Datar Regency, Banjarmasin City, Bandung City, Tasikmalaya City, Yogyakarta City")</f>
        <v>The wise stage of buying fuel type of solar  pertalite type, Bukittinggi city area, Tanah Datar Regency, Banjarmasin City, Bandung City, Tasikmalaya City, Yogyakarta City</v>
      </c>
    </row>
    <row r="1800" spans="1:2" x14ac:dyDescent="0.2">
      <c r="A1800" s="1" t="s">
        <v>3530</v>
      </c>
      <c r="B1800" s="1" t="str">
        <f ca="1">IFERROR(__xludf.DUMFUNCTION("GOOGLETRANSLATE(A1854,""id"",""en"")")," Google Play Store Application Floods Star Review As a result of complaints of Agam Use")</f>
        <v xml:space="preserve"> Google Play Store Application Floods Star Review As a result of complaints of Agam Use</v>
      </c>
    </row>
    <row r="1801" spans="1:2" x14ac:dyDescent="0.2">
      <c r="A1801" s="1" t="s">
        <v>3830</v>
      </c>
      <c r="B1801" s="1" t="str">
        <f ca="1">IFERROR(__xludf.DUMFUNCTION("GOOGLETRANSLATE(A1855,""id"",""en"")"),"Pertalite Solar Buy LPG GAS KG MUST REGISTER ")</f>
        <v xml:space="preserve">Pertalite Solar Buy LPG GAS KG MUST REGISTER </v>
      </c>
    </row>
    <row r="1802" spans="1:2" x14ac:dyDescent="0.2">
      <c r="A1802" s="1" t="s">
        <v>3831</v>
      </c>
      <c r="B1802" s="1" t="str">
        <f ca="1">IFERROR(__xludf.DUMFUNCTION("GOOGLETRANSLATE(A1856,""id"",""en"")")," Application  Data Function Community Salur BBM Subsidized Sasar")</f>
        <v xml:space="preserve"> Application  Data Function Community Salur BBM Subsidized Sasar</v>
      </c>
    </row>
    <row r="1803" spans="1:2" x14ac:dyDescent="0.2">
      <c r="A1803" s="1" t="s">
        <v>3832</v>
      </c>
      <c r="B1803" s="1" t="str">
        <f ca="1">IFERROR(__xludf.DUMFUNCTION("GOOGLETRANSLATE(A1857,""id"",""en"")"),"Buy fuel oil using  applications Salur fuel subsidies Salang difficult Sasar subsidies command")</f>
        <v>Buy fuel oil using  applications Salur fuel subsidies Salang difficult Sasar subsidies command</v>
      </c>
    </row>
    <row r="1804" spans="1:2" x14ac:dyDescent="0.2">
      <c r="A1804" s="1" t="s">
        <v>3833</v>
      </c>
      <c r="B1804" s="1" t="str">
        <f ca="1">IFERROR(__xludf.DUMFUNCTION("GOOGLETRANSLATE(A1858,""id"",""en"")"),"Buy BBM using  Laku July Consumer Smartphone  Solutions Via")</f>
        <v>Buy BBM using  Laku July Consumer Smartphone  Solutions Via</v>
      </c>
    </row>
    <row r="1805" spans="1:2" x14ac:dyDescent="0.2">
      <c r="A1805" s="1" t="s">
        <v>3834</v>
      </c>
      <c r="B1805" s="1" t="str">
        <f ca="1">IFERROR(__xludf.DUMFUNCTION("GOOGLETRANSLATE(A1859,""id"",""en"")"),"Types of Mandatory Kendara Application  Buy BBM Types of Pertalite Solar wise")</f>
        <v>Types of Mandatory Kendara Application  Buy BBM Types of Pertalite Solar wise</v>
      </c>
    </row>
    <row r="1806" spans="1:2" x14ac:dyDescent="0.2">
      <c r="A1806" s="1" t="s">
        <v>3835</v>
      </c>
      <c r="B1806" s="1" t="str">
        <f ca="1">IFERROR(__xludf.DUMFUNCTION("GOOGLETRANSLATE(A1860,""id"",""en"")"),"kereunnn the application of the application of  central order for subsidized fuel fuel")</f>
        <v>kereunnn the application of the application of  central order for subsidized fuel fuel</v>
      </c>
    </row>
    <row r="1807" spans="1:2" x14ac:dyDescent="0.2">
      <c r="A1807" s="1" t="s">
        <v>3836</v>
      </c>
      <c r="B1807" s="1" t="str">
        <f ca="1">IFERROR(__xludf.DUMFUNCTION("GOOGLETRANSLATE(A1861,""id"",""en"")"),"Receive BBM Subsidies  application checks the list of  gas stations  Solar Pertalite")</f>
        <v>Receive BBM Subsidies  application checks the list of  gas stations  Solar Pertalite</v>
      </c>
    </row>
    <row r="1808" spans="1:2" x14ac:dyDescent="0.2">
      <c r="A1808" s="1" t="s">
        <v>3837</v>
      </c>
      <c r="B1808" s="1" t="str">
        <f ca="1">IFERROR(__xludf.DUMFUNCTION("GOOGLETRANSLATE(A1862,""id"",""en"")"),"Types of Kendara Mandatory Use  Applications Buy Pertalite Solar Selling July")</f>
        <v>Types of Kendara Mandatory Use  Applications Buy Pertalite Solar Selling July</v>
      </c>
    </row>
    <row r="1809" spans="1:2" x14ac:dyDescent="0.2">
      <c r="A1809" s="1" t="s">
        <v>3838</v>
      </c>
      <c r="B1809" s="1" t="str">
        <f ca="1">IFERROR(__xludf.DUMFUNCTION("GOOGLETRANSLATE(A1863,""id"",""en"")"),"Bang Jansen can get the discourse of buying pertalite  application buying cooking oil caring for protected protesters")</f>
        <v>Bang Jansen can get the discourse of buying pertalite  application buying cooking oil caring for protected protesters</v>
      </c>
    </row>
    <row r="1810" spans="1:2" x14ac:dyDescent="0.2">
      <c r="A1810" s="1" t="s">
        <v>3839</v>
      </c>
      <c r="B1810" s="1" t="str">
        <f ca="1">IFERROR(__xludf.DUMFUNCTION("GOOGLETRANSLATE(A1864,""id"",""en"")"),"Talking Technical Filter Machines Right to Using Pertalite Pertamax Yes, just look at the compression of the vehicle machine, just cool if the  application is automatic")</f>
        <v>Talking Technical Filter Machines Right to Using Pertalite Pertamax Yes, just look at the compression of the vehicle machine, just cool if the  application is automatic</v>
      </c>
    </row>
    <row r="1811" spans="1:2" x14ac:dyDescent="0.2">
      <c r="A1811" s="1" t="s">
        <v>978</v>
      </c>
      <c r="B1811" s="1" t="str">
        <f ca="1">IFERROR(__xludf.DUMFUNCTION("GOOGLETRANSLATE(A1865,""id"",""en"")"),"Not Pertamax Turbo Complete  Technology Ignition Boost Formula")</f>
        <v>Not Pertamax Turbo Complete  Technology Ignition Boost Formula</v>
      </c>
    </row>
    <row r="1812" spans="1:2" x14ac:dyDescent="0.2">
      <c r="A1812" s="1" t="s">
        <v>3840</v>
      </c>
      <c r="B1812" s="1" t="str">
        <f ca="1">IFERROR(__xludf.DUMFUNCTION("GOOGLETRANSLATE(A1866,""id"",""en"")")," Terms of Playing SPBU Mobile")</f>
        <v xml:space="preserve"> Terms of Playing SPBU Mobile</v>
      </c>
    </row>
    <row r="1813" spans="1:2" x14ac:dyDescent="0.2">
      <c r="A1813" s="1" t="s">
        <v>3841</v>
      </c>
      <c r="B1813" s="1" t="str">
        <f ca="1">IFERROR(__xludf.DUMFUNCTION("GOOGLETRANSLATE(A1867,""id"",""en"")")," is available on the online list of the  Tera Website Application")</f>
        <v xml:space="preserve"> is available on the online list of the  Tera Website Application</v>
      </c>
    </row>
    <row r="1814" spans="1:2" x14ac:dyDescent="0.2">
      <c r="A1814" s="1" t="s">
        <v>3781</v>
      </c>
      <c r="B1814" s="1" t="str">
        <f ca="1">IFERROR(__xludf.DUMFUNCTION("GOOGLETRANSLATE(A1868,""id"",""en"")")," application for subsidized fuel consumer data functions")</f>
        <v xml:space="preserve"> application for subsidized fuel consumer data functions</v>
      </c>
    </row>
    <row r="1815" spans="1:2" x14ac:dyDescent="0.2">
      <c r="A1815" s="1" t="s">
        <v>3842</v>
      </c>
      <c r="B1815" s="1" t="str">
        <f ca="1">IFERROR(__xludf.DUMFUNCTION("GOOGLETRANSLATE(A1869,""id"",""en"")"),"List of Wheel's  Applications")</f>
        <v>List of Wheel's  Applications</v>
      </c>
    </row>
    <row r="1816" spans="1:2" x14ac:dyDescent="0.2">
      <c r="A1816" s="1" t="s">
        <v>3843</v>
      </c>
      <c r="B1816" s="1" t="str">
        <f ca="1">IFERROR(__xludf.DUMFUNCTION("GOOGLETRANSLATE(A1870,""id"",""en"")"),"wise changes in the name of the road contents using  actually go down to the back just wait for   mechanism for the socialization of Indonesian smart people")</f>
        <v>wise changes in the name of the road contents using  actually go down to the back just wait for   mechanism for the socialization of Indonesian smart people</v>
      </c>
    </row>
    <row r="1817" spans="1:2" x14ac:dyDescent="0.2">
      <c r="A1817" s="1" t="s">
        <v>3844</v>
      </c>
      <c r="B1817" s="1" t="str">
        <f ca="1">IFERROR(__xludf.DUMFUNCTION("GOOGLETRANSLATE(A1871,""id"",""en"")"),"Gajadi Go Ayang to take care of  Fakuy data")</f>
        <v>Gajadi Go Ayang to take care of  Fakuy data</v>
      </c>
    </row>
    <row r="1818" spans="1:2" x14ac:dyDescent="0.2">
      <c r="A1818" s="1" t="s">
        <v>102</v>
      </c>
      <c r="B1818" s="1" t="str">
        <f ca="1">IFERROR(__xludf.DUMFUNCTION("GOOGLETRANSLATE(A1872,""id"",""en"")"),"wise regime is difficult for the people to make a living")</f>
        <v>wise regime is difficult for the people to make a living</v>
      </c>
    </row>
    <row r="1819" spans="1:2" x14ac:dyDescent="0.2">
      <c r="A1819" s="1" t="s">
        <v>103</v>
      </c>
      <c r="B1819" s="1" t="str">
        <f ca="1">IFERROR(__xludf.DUMFUNCTION("GOOGLETRANSLATE(A1873,""id"",""en"")"),"MB wheel is set")</f>
        <v>MB wheel is set</v>
      </c>
    </row>
    <row r="1820" spans="1:2" x14ac:dyDescent="0.2">
      <c r="A1820" s="1" t="s">
        <v>3845</v>
      </c>
      <c r="B1820" s="1" t="str">
        <f ca="1">IFERROR(__xludf.DUMFUNCTION("GOOGLETRANSLATE(A1874,""id"",""en"")"),"the position of the  application is alternative to pay ovo gopay like the main pay if you pay the main must be cash")</f>
        <v>the position of the  application is alternative to pay ovo gopay like the main pay if you pay the main must be cash</v>
      </c>
    </row>
    <row r="1821" spans="1:2" x14ac:dyDescent="0.2">
      <c r="A1821" s="1" t="s">
        <v>3846</v>
      </c>
      <c r="B1821" s="1" t="str">
        <f ca="1">IFERROR(__xludf.DUMFUNCTION("GOOGLETRANSLATE(A1875,""id"",""en"")"),"Yogyakarta City gas station has risen asking for pertalite due to mispleteness for  July application")</f>
        <v>Yogyakarta City gas station has risen asking for pertalite due to mispleteness for  July application</v>
      </c>
    </row>
    <row r="1822" spans="1:2" x14ac:dyDescent="0.2">
      <c r="A1822" s="1" t="s">
        <v>3847</v>
      </c>
      <c r="B1822" s="1" t="str">
        <f ca="1">IFERROR(__xludf.DUMFUNCTION("GOOGLETRANSLATE(A1876,""id"",""en"")")," Apk Mod")</f>
        <v xml:space="preserve"> Apk Mod</v>
      </c>
    </row>
    <row r="1823" spans="1:2" x14ac:dyDescent="0.2">
      <c r="A1823" s="1" t="s">
        <v>3848</v>
      </c>
      <c r="B1823" s="1" t="str">
        <f ca="1">IFERROR(__xludf.DUMFUNCTION("GOOGLETRANSLATE(A1877,""id"",""en"")")," Kendara Application  Wheel SPBU  Lampungpost")</f>
        <v xml:space="preserve"> Kendara Application  Wheel SPBU  Lampungpost</v>
      </c>
    </row>
    <row r="1824" spans="1:2" x14ac:dyDescent="0.2">
      <c r="A1824" s="1" t="s">
        <v>3849</v>
      </c>
      <c r="B1824" s="1" t="str">
        <f ca="1">IFERROR(__xludf.DUMFUNCTION("GOOGLETRANSLATE(A1878,""id"",""en"")"),"Tdi Intention to Ngawa Sister's Sister But Gasoline Gasoline Needle Running Topup Linkaja Jalan Pom is far helping ")</f>
        <v xml:space="preserve">Tdi Intention to Ngawa Sister's Sister But Gasoline Gasoline Needle Running Topup Linkaja Jalan Pom is far helping </v>
      </c>
    </row>
    <row r="1825" spans="1:2" x14ac:dyDescent="0.2">
      <c r="A1825" s="1" t="s">
        <v>3850</v>
      </c>
      <c r="B1825" s="1" t="str">
        <f ca="1">IFERROR(__xludf.DUMFUNCTION("GOOGLETRANSLATE(A1879,""id"",""en"")"),"Solutions for Poor People  Mod Unlimited Money wkwkwk just directly TKP   Right Original Applications Directly Download Playstore")</f>
        <v>Solutions for Poor People  Mod Unlimited Money wkwkwk just directly TKP   Right Original Applications Directly Download Playstore</v>
      </c>
    </row>
    <row r="1826" spans="1:2" x14ac:dyDescent="0.2">
      <c r="A1826" s="1" t="s">
        <v>3851</v>
      </c>
      <c r="B1826" s="1" t="str">
        <f ca="1">IFERROR(__xludf.DUMFUNCTION("GOOGLETRANSLATE(A1880,""id"",""en"")"),"People and people are obliged to use , it's good")</f>
        <v>People and people are obliged to use , it's good</v>
      </c>
    </row>
    <row r="1827" spans="1:2" x14ac:dyDescent="0.2">
      <c r="A1827" s="1" t="s">
        <v>3852</v>
      </c>
      <c r="B1827" s="1" t="str">
        <f ca="1">IFERROR(__xludf.DUMFUNCTION("GOOGLETRANSLATE(A1881,""id"",""en"")"),"Pertalite Buying LPG Kilogram Gas Mandatory List of  Newsrctiplus")</f>
        <v>Pertalite Buying LPG Kilogram Gas Mandatory List of  Newsrctiplus</v>
      </c>
    </row>
    <row r="1828" spans="1:2" x14ac:dyDescent="0.2">
      <c r="A1828" s="1" t="s">
        <v>3853</v>
      </c>
      <c r="B1828" s="1" t="str">
        <f ca="1">IFERROR(__xludf.DUMFUNCTION("GOOGLETRANSLATE(A1882,""id"",""en"")"),"Follow Pertalite Solar Turning LPG Kg Gas Gas Using  Listen clearly")</f>
        <v>Follow Pertalite Solar Turning LPG Kg Gas Gas Using  Listen clearly</v>
      </c>
    </row>
    <row r="1829" spans="1:2" x14ac:dyDescent="0.2">
      <c r="A1829" s="1" t="s">
        <v>3854</v>
      </c>
      <c r="B1829" s="1" t="str">
        <f ca="1">IFERROR(__xludf.DUMFUNCTION("GOOGLETRANSLATE(A1883,""id"",""en"")"),"Buy Pertalite via the Javanese  application September")</f>
        <v>Buy Pertalite via the Javanese  application September</v>
      </c>
    </row>
    <row r="1830" spans="1:2" x14ac:dyDescent="0.2">
      <c r="A1830" s="1" t="s">
        <v>3855</v>
      </c>
      <c r="B1830" s="1" t="str">
        <f ca="1">IFERROR(__xludf.DUMFUNCTION("GOOGLETRANSLATE(A1884,""id"",""en"")"),"Disdagin Industry Office of Bandung City Disdagin Call Motorcycle Motorcycle Application  Fill in Pertalite SPBU")</f>
        <v>Disdagin Industry Office of Bandung City Disdagin Call Motorcycle Motorcycle Application  Fill in Pertalite SPBU</v>
      </c>
    </row>
    <row r="1831" spans="1:2" x14ac:dyDescent="0.2">
      <c r="A1831" s="1" t="s">
        <v>3856</v>
      </c>
      <c r="B1831" s="1" t="str">
        <f ca="1">IFERROR(__xludf.DUMFUNCTION("GOOGLETRANSLATE(A1885,""id"",""en"")"),"Tracking for Money Functions just like paying cash  fathom tracking the right not to use pertalite bang")</f>
        <v>Tracking for Money Functions just like paying cash  fathom tracking the right not to use pertalite bang</v>
      </c>
    </row>
    <row r="1832" spans="1:2" x14ac:dyDescent="0.2">
      <c r="A1832" s="1" t="s">
        <v>3857</v>
      </c>
      <c r="B1832" s="1" t="str">
        <f ca="1">IFERROR(__xludf.DUMFUNCTION("GOOGLETRANSLATE(A1886,""id"",""en"")")," may use the  gas station for prohibiting  application  SPBU Pertalite Solar")</f>
        <v xml:space="preserve"> may use the  gas station for prohibiting  application  SPBU Pertalite Solar</v>
      </c>
    </row>
    <row r="1833" spans="1:2" x14ac:dyDescent="0.2">
      <c r="A1833" s="1" t="s">
        <v>3858</v>
      </c>
      <c r="B1833" s="1" t="str">
        <f ca="1">IFERROR(__xludf.DUMFUNCTION("GOOGLETRANSLATE(A1887,""id"",""en"")"),"MGTNews Bandung City One of the Mandatory BBM BBM Subsidies Pertalite Solar Application  Ibas Wise in Bandung Citizen Fill Cimahi Mgtplay Mgtradio")</f>
        <v>MGTNews Bandung City One of the Mandatory BBM BBM Subsidies Pertalite Solar Application  Ibas Wise in Bandung Citizen Fill Cimahi Mgtplay Mgtradio</v>
      </c>
    </row>
    <row r="1834" spans="1:2" x14ac:dyDescent="0.2">
      <c r="A1834" s="1" t="s">
        <v>3859</v>
      </c>
      <c r="B1834" s="1" t="str">
        <f ca="1">IFERROR(__xludf.DUMFUNCTION("GOOGLETRANSLATE(A1888,""id"",""en"")"),"CMO Online Slot Agent Easy Winning Cmo Popo Instagram GetwellSoonyuta  Already Displaying MA Semuabisakena Slotonline Slotgacor Deposit Agenslotgacor Togelonline Casinoonline BonusDeposit Bonusslot Judigacor Depositermurah")</f>
        <v>CMO Online Slot Agent Easy Winning Cmo Popo Instagram GetwellSoonyuta  Already Displaying MA Semuabisakena Slotonline Slotgacor Deposit Agenslotgacor Togelonline Casinoonline BonusDeposit Bonusslot Judigacor Depositermurah</v>
      </c>
    </row>
    <row r="1835" spans="1:2" x14ac:dyDescent="0.2">
      <c r="A1835" s="1" t="s">
        <v>3860</v>
      </c>
      <c r="B1835" s="1" t="str">
        <f ca="1">IFERROR(__xludf.DUMFUNCTION("GOOGLETRANSLATE(A1889,""id"",""en"")"),"PERTALITE SOLAR PLAN PLAN BUY BUYING LPG KG APPLICATION  ECONO WISE VALUE DIFFICULT CENTER CENTRAL Mobile CLNNIndonesia ANALYSIS")</f>
        <v>PERTALITE SOLAR PLAN PLAN BUY BUYING LPG KG APPLICATION  ECONO WISE VALUE DIFFICULT CENTER CENTRAL Mobile CLNNIndonesia ANALYSIS</v>
      </c>
    </row>
    <row r="1836" spans="1:2" x14ac:dyDescent="0.2">
      <c r="A1836" s="1" t="s">
        <v>3861</v>
      </c>
      <c r="B1836" s="1" t="str">
        <f ca="1">IFERROR(__xludf.DUMFUNCTION("GOOGLETRANSLATE(A1890,""id"",""en"")"),"Pertalite Solar Access LPG Kg  application makes sense http")</f>
        <v>Pertalite Solar Access LPG Kg  application makes sense http</v>
      </c>
    </row>
    <row r="1837" spans="1:2" x14ac:dyDescent="0.2">
      <c r="A1837" s="1" t="s">
        <v>3862</v>
      </c>
      <c r="B1837" s="1" t="str">
        <f ca="1">IFERROR(__xludf.DUMFUNCTION("GOOGLETRANSLATE(A1891,""id"",""en"")"),"not the same toll if the same toll doesn't use  mending  makes a card when filling up directly tap top up Alfamart indomaret near not using a cellphone")</f>
        <v>not the same toll if the same toll doesn't use  mending  makes a card when filling up directly tap top up Alfamart indomaret near not using a cellphone</v>
      </c>
    </row>
    <row r="1838" spans="1:2" x14ac:dyDescent="0.2">
      <c r="A1838" s="1" t="s">
        <v>3863</v>
      </c>
      <c r="B1838" s="1" t="str">
        <f ca="1">IFERROR(__xludf.DUMFUNCTION("GOOGLETRANSLATE(A1892,""id"",""en"")"),"Pertalite Solar Access LPG Kg  Application Makes sense")</f>
        <v>Pertalite Solar Access LPG Kg  Application Makes sense</v>
      </c>
    </row>
    <row r="1839" spans="1:2" x14ac:dyDescent="0.2">
      <c r="A1839" s="1" t="s">
        <v>3864</v>
      </c>
      <c r="B1839" s="1" t="str">
        <f ca="1">IFERROR(__xludf.DUMFUNCTION("GOOGLETRANSLATE(A1893,""id"",""en"")"),"Ken see the pro sound wisely to buy pertalite with  yak application")</f>
        <v>Ken see the pro sound wisely to buy pertalite with  yak application</v>
      </c>
    </row>
    <row r="1840" spans="1:2" x14ac:dyDescent="0.2">
      <c r="A1840" s="1" t="s">
        <v>3865</v>
      </c>
      <c r="B1840" s="1" t="str">
        <f ca="1">IFERROR(__xludf.DUMFUNCTION("GOOGLETRANSLATE(A1894,""id"",""en"")"),"Buy Migor Using KTP Buy Pertalite Using  Milu Using Cardboard")</f>
        <v>Buy Migor Using KTP Buy Pertalite Using  Milu Using Cardboard</v>
      </c>
    </row>
    <row r="1841" spans="1:2" x14ac:dyDescent="0.2">
      <c r="A1841" s="1" t="s">
        <v>979</v>
      </c>
      <c r="B1841" s="1" t="str">
        <f ca="1">IFERROR(__xludf.DUMFUNCTION("GOOGLETRANSLATE(A1895,""id"",""en"")"),"Bandung Motor City Government Buy Pertalite Region Registration List  Mobil Website Mandatory List July")</f>
        <v>Bandung Motor City Government Buy Pertalite Region Registration List  Mobil Website Mandatory List July</v>
      </c>
    </row>
    <row r="1842" spans="1:2" x14ac:dyDescent="0.2">
      <c r="A1842" s="1" t="s">
        <v>3866</v>
      </c>
      <c r="B1842" s="1" t="str">
        <f ca="1">IFERROR(__xludf.DUMFUNCTION("GOOGLETRANSLATE(A1896,""id"",""en"")"),"DPR Guna  Buy Pertalite Awas Strictly")</f>
        <v>DPR Guna  Buy Pertalite Awas Strictly</v>
      </c>
    </row>
    <row r="1843" spans="1:2" x14ac:dyDescent="0.2">
      <c r="A1843" s="1" t="s">
        <v>3867</v>
      </c>
      <c r="B1843" s="1" t="str">
        <f ca="1">IFERROR(__xludf.DUMFUNCTION("GOOGLETRANSLATE(A1897,""id"",""en"")")," BPH Migas Please Salur Solar Pertalite Control")</f>
        <v xml:space="preserve"> BPH Migas Please Salur Solar Pertalite Control</v>
      </c>
    </row>
    <row r="1844" spans="1:2" x14ac:dyDescent="0.2">
      <c r="A1844" s="1" t="s">
        <v>3868</v>
      </c>
      <c r="B1844" s="1" t="str">
        <f ca="1">IFERROR(__xludf.DUMFUNCTION("GOOGLETRANSLATE(A1898,""id"",""en"")")," Application Keep Meter Aytalk Smartconsumer ")</f>
        <v xml:space="preserve"> Application Keep Meter Aytalk Smartconsumer </v>
      </c>
    </row>
    <row r="1845" spans="1:2" x14ac:dyDescent="0.2">
      <c r="A1845" s="1" t="s">
        <v>3869</v>
      </c>
      <c r="B1845" s="1" t="str">
        <f ca="1">IFERROR(__xludf.DUMFUNCTION("GOOGLETRANSLATE(A1899,""id"",""en"")"),"BBM Subsidies Deliciously Alas The command to insist on ")</f>
        <v xml:space="preserve">BBM Subsidies Deliciously Alas The command to insist on </v>
      </c>
    </row>
    <row r="1846" spans="1:2" x14ac:dyDescent="0.2">
      <c r="A1846" s="1" t="s">
        <v>3870</v>
      </c>
      <c r="B1846" s="1" t="str">
        <f ca="1">IFERROR(__xludf.DUMFUNCTION("GOOGLETRANSLATE(A1900,""id"",""en"")"),"Types of Kendara Mandatory to Use  Buy Fuel in July")</f>
        <v>Types of Kendara Mandatory to Use  Buy Fuel in July</v>
      </c>
    </row>
    <row r="1847" spans="1:2" x14ac:dyDescent="0.2">
      <c r="A1847" s="1" t="s">
        <v>2430</v>
      </c>
      <c r="B1847" s="1" t="str">
        <f ca="1">IFERROR(__xludf.DUMFUNCTION("GOOGLETRANSLATE(A1901,""id"",""en"")"),"a list of vehicles to buy solar subsidies  tempobusiness")</f>
        <v>a list of vehicles to buy solar subsidies  tempobusiness</v>
      </c>
    </row>
    <row r="1848" spans="1:2" x14ac:dyDescent="0.2">
      <c r="A1848" s="1" t="s">
        <v>3871</v>
      </c>
      <c r="B1848" s="1" t="str">
        <f ca="1">IFERROR(__xludf.DUMFUNCTION("GOOGLETRANSLATE(A1902,""id"",""en"")"),"he can go to buying fuel subsidies for lightweight application swollen fencing digital technology for  application")</f>
        <v>he can go to buying fuel subsidies for lightweight application swollen fencing digital technology for  application</v>
      </c>
    </row>
    <row r="1849" spans="1:2" x14ac:dyDescent="0.2">
      <c r="A1849" s="1" t="s">
        <v>3872</v>
      </c>
      <c r="B1849" s="1" t="str">
        <f ca="1">IFERROR(__xludf.DUMFUNCTION("GOOGLETRANSLATE(A1903,""id"",""en"")"),"JULY BUY PERTALITE SOLAR MUST REGISTER  THREAD")</f>
        <v>JULY BUY PERTALITE SOLAR MUST REGISTER  THREAD</v>
      </c>
    </row>
    <row r="1850" spans="1:2" x14ac:dyDescent="0.2">
      <c r="A1850" s="1" t="s">
        <v>3873</v>
      </c>
      <c r="B1850" s="1" t="str">
        <f ca="1">IFERROR(__xludf.DUMFUNCTION("GOOGLETRANSLATE(A1904,""id"",""en"")"),"ahead of the trial of the limit of buying a solar circulation pertalite web address of the fake  application alias abal abal")</f>
        <v>ahead of the trial of the limit of buying a solar circulation pertalite web address of the fake  application alias abal abal</v>
      </c>
    </row>
    <row r="1851" spans="1:2" x14ac:dyDescent="0.2">
      <c r="A1851" s="1" t="s">
        <v>3873</v>
      </c>
      <c r="B1851" s="1" t="str">
        <f ca="1">IFERROR(__xludf.DUMFUNCTION("GOOGLETRANSLATE(A1905,""id"",""en"")"),"ahead of the trial of the limit of buying a solar circulation pertalite web address of the fake  application alias abal abal")</f>
        <v>ahead of the trial of the limit of buying a solar circulation pertalite web address of the fake  application alias abal abal</v>
      </c>
    </row>
    <row r="1852" spans="1:2" x14ac:dyDescent="0.2">
      <c r="A1852" s="1" t="s">
        <v>3869</v>
      </c>
      <c r="B1852" s="1" t="str">
        <f ca="1">IFERROR(__xludf.DUMFUNCTION("GOOGLETRANSLATE(A1906,""id"",""en"")"),"BBM Subsidies Deliciously Alas The command to insist on ")</f>
        <v xml:space="preserve">BBM Subsidies Deliciously Alas The command to insist on </v>
      </c>
    </row>
    <row r="1853" spans="1:2" x14ac:dyDescent="0.2">
      <c r="A1853" s="1" t="s">
        <v>3870</v>
      </c>
      <c r="B1853" s="1" t="str">
        <f ca="1">IFERROR(__xludf.DUMFUNCTION("GOOGLETRANSLATE(A1907,""id"",""en"")"),"Types of Kendara Mandatory to Use  Buy Fuel in July")</f>
        <v>Types of Kendara Mandatory to Use  Buy Fuel in July</v>
      </c>
    </row>
    <row r="1854" spans="1:2" x14ac:dyDescent="0.2">
      <c r="A1854" s="1" t="s">
        <v>3874</v>
      </c>
      <c r="B1854" s="1" t="str">
        <f ca="1">IFERROR(__xludf.DUMFUNCTION("GOOGLETRANSLATE(A1908,""id"",""en"")"),"I don't use the application so that you are obliged to gin btw btw  mayan promo anyway")</f>
        <v>I don't use the application so that you are obliged to gin btw btw  mayan promo anyway</v>
      </c>
    </row>
    <row r="1855" spans="1:2" x14ac:dyDescent="0.2">
      <c r="A1855" s="1" t="s">
        <v>3875</v>
      </c>
      <c r="B1855" s="1" t="str">
        <f ca="1">IFERROR(__xludf.DUMFUNCTION("GOOGLETRANSLATE(A1909,""id"",""en"")")," can't cash anjir, the end of 's employee provides a toll rich payment device")</f>
        <v xml:space="preserve"> can't cash anjir, the end of 's employee provides a toll rich payment device</v>
      </c>
    </row>
    <row r="1856" spans="1:2" x14ac:dyDescent="0.2">
      <c r="A1856" s="1" t="s">
        <v>3876</v>
      </c>
      <c r="B1856" s="1" t="str">
        <f ca="1">IFERROR(__xludf.DUMFUNCTION("GOOGLETRANSLATE(A1910,""id"",""en"")")," dick really")</f>
        <v xml:space="preserve"> dick really</v>
      </c>
    </row>
    <row r="1857" spans="1:2" x14ac:dyDescent="0.2">
      <c r="A1857" s="1" t="s">
        <v>3877</v>
      </c>
      <c r="B1857" s="1" t="str">
        <f ca="1">IFERROR(__xludf.DUMFUNCTION("GOOGLETRANSLATE(A1911,""id"",""en"")"),"Help Socialization Using  Bang Sy Jogja Rada Radu by Set Sya Yaqin Banyk Banyk who also experienced that I tried bbk apps spy bbm subsidized org org khan many people who were layman with bang")</f>
        <v>Help Socialization Using  Bang Sy Jogja Rada Radu by Set Sya Yaqin Banyk Banyk who also experienced that I tried bbk apps spy bbm subsidized org org khan many people who were layman with bang</v>
      </c>
    </row>
    <row r="1858" spans="1:2" x14ac:dyDescent="0.2">
      <c r="A1858" s="1" t="s">
        <v>2464</v>
      </c>
      <c r="B1858" s="1" t="str">
        <f ca="1">IFERROR(__xludf.DUMFUNCTION("GOOGLETRANSLATE(A1912,""id"",""en"")"),"The Coalition of Civil People  Pedulilat protected complicated power of people's data from the people")</f>
        <v>The Coalition of Civil People  Pedulilat protected complicated power of people's data from the people</v>
      </c>
    </row>
    <row r="1859" spans="1:2" x14ac:dyDescent="0.2">
      <c r="A1859" s="1" t="s">
        <v>3878</v>
      </c>
      <c r="B1859" s="1" t="str">
        <f ca="1">IFERROR(__xludf.DUMFUNCTION("GOOGLETRANSLATE(A1913,""id"",""en"")"),"Buy Pertalite Using the  Application Using QR Code The Arrangement of the Car Link")</f>
        <v>Buy Pertalite Using the  Application Using QR Code The Arrangement of the Car Link</v>
      </c>
    </row>
    <row r="1860" spans="1:2" x14ac:dyDescent="0.2">
      <c r="A1860" s="1" t="s">
        <v>3879</v>
      </c>
      <c r="B1860" s="1" t="str">
        <f ca="1">IFERROR(__xludf.DUMFUNCTION("GOOGLETRANSLATE(A1914,""id"",""en"")"),"I use  if you fill in gasoline, the special lane doesn't queue but use card")</f>
        <v>I use  if you fill in gasoline, the special lane doesn't queue but use card</v>
      </c>
    </row>
    <row r="1861" spans="1:2" x14ac:dyDescent="0.2">
      <c r="A1861" s="1" t="s">
        <v>3878</v>
      </c>
      <c r="B1861" s="1" t="str">
        <f ca="1">IFERROR(__xludf.DUMFUNCTION("GOOGLETRANSLATE(A1915,""id"",""en"")"),"Buy Pertalite Using the  Application Using QR Code The Arrangement of the Car Link")</f>
        <v>Buy Pertalite Using the  Application Using QR Code The Arrangement of the Car Link</v>
      </c>
    </row>
    <row r="1862" spans="1:2" x14ac:dyDescent="0.2">
      <c r="A1862" s="1" t="s">
        <v>3880</v>
      </c>
      <c r="B1862" s="1" t="str">
        <f ca="1">IFERROR(__xludf.DUMFUNCTION("GOOGLETRANSLATE(A1916,""id"",""en"")"),"just bought pertalite using the  application using the QR Code therapy area of ​​the car link")</f>
        <v>just bought pertalite using the  application using the QR Code therapy area of ​​the car link</v>
      </c>
    </row>
    <row r="1863" spans="1:2" x14ac:dyDescent="0.2">
      <c r="A1863" s="1" t="s">
        <v>3133</v>
      </c>
      <c r="B1863" s="1" t="str">
        <f ca="1">IFERROR(__xludf.DUMFUNCTION("GOOGLETRANSLATE(A1917,""id"",""en"")"),"Buy fuel fuel fuel using  applications Salur BBM Subsidized Sasar")</f>
        <v>Buy fuel fuel fuel using  applications Salur BBM Subsidized Sasar</v>
      </c>
    </row>
    <row r="1864" spans="1:2" x14ac:dyDescent="0.2">
      <c r="A1864" s="1" t="s">
        <v>3881</v>
      </c>
      <c r="B1864" s="1" t="str">
        <f ca="1">IFERROR(__xludf.DUMFUNCTION("GOOGLETRANSLATE(A1918,""id"",""en"")"),"I mean to buy BBM using  from , actually so that the fuel subsidy is the Sasar Sedas, the offline booth is also every gas station")</f>
        <v>I mean to buy BBM using  from , actually so that the fuel subsidy is the Sasar Sedas, the offline booth is also every gas station</v>
      </c>
    </row>
    <row r="1865" spans="1:2" x14ac:dyDescent="0.2">
      <c r="A1865" s="1" t="s">
        <v>3882</v>
      </c>
      <c r="B1865" s="1" t="str">
        <f ca="1">IFERROR(__xludf.DUMFUNCTION("GOOGLETRANSLATE(A1919,""id"",""en"")"),"Raip profit Rp")</f>
        <v>Raip profit Rp</v>
      </c>
    </row>
    <row r="1866" spans="1:2" x14ac:dyDescent="0.2">
      <c r="A1866" s="1" t="s">
        <v>3878</v>
      </c>
      <c r="B1866" s="1" t="str">
        <f ca="1">IFERROR(__xludf.DUMFUNCTION("GOOGLETRANSLATE(A1920,""id"",""en"")"),"Buy Pertalite Using the  Application Using QR Code The Arrangement of the Car Link")</f>
        <v>Buy Pertalite Using the  Application Using QR Code The Arrangement of the Car Link</v>
      </c>
    </row>
    <row r="1867" spans="1:2" x14ac:dyDescent="0.2">
      <c r="A1867" s="1" t="s">
        <v>3878</v>
      </c>
      <c r="B1867" s="1" t="str">
        <f ca="1">IFERROR(__xludf.DUMFUNCTION("GOOGLETRANSLATE(A1921,""id"",""en"")"),"Buy Pertalite Using the  Application Using QR Code The Arrangement of the Car Link")</f>
        <v>Buy Pertalite Using the  Application Using QR Code The Arrangement of the Car Link</v>
      </c>
    </row>
    <row r="1868" spans="1:2" x14ac:dyDescent="0.2">
      <c r="A1868" s="1" t="s">
        <v>104</v>
      </c>
      <c r="B1868" s="1" t="str">
        <f ca="1">IFERROR(__xludf.DUMFUNCTION("GOOGLETRANSLATE(A1922,""id"",""en"")"),"List of Website Kendara Identity Data Open")</f>
        <v>List of Website Kendara Identity Data Open</v>
      </c>
    </row>
    <row r="1869" spans="1:2" x14ac:dyDescent="0.2">
      <c r="A1869" s="1" t="s">
        <v>980</v>
      </c>
      <c r="B1869" s="1" t="str">
        <f ca="1">IFERROR(__xludf.DUMFUNCTION("GOOGLETRANSLATE(A1923,""id"",""en"")"),"Sobattangerang July  Test Trial Buy BBM Pertalite Solar Subsidies List")</f>
        <v>Sobattangerang July  Test Trial Buy BBM Pertalite Solar Subsidies List</v>
      </c>
    </row>
    <row r="1870" spans="1:2" x14ac:dyDescent="0.2">
      <c r="A1870" s="1" t="s">
        <v>3883</v>
      </c>
      <c r="B1870" s="1" t="str">
        <f ca="1">IFERROR(__xludf.DUMFUNCTION("GOOGLETRANSLATE(A1924,""id"",""en"")"),"think about how to open the  pombensin application")</f>
        <v>think about how to open the  pombensin application</v>
      </c>
    </row>
    <row r="1871" spans="1:2" x14ac:dyDescent="0.2">
      <c r="A1871" s="1" t="s">
        <v>105</v>
      </c>
      <c r="B1871" s="1" t="str">
        <f ca="1">IFERROR(__xludf.DUMFUNCTION("GOOGLETRANSLATE(A1925,""id"",""en"")"),"the link is to read it and teach")</f>
        <v>the link is to read it and teach</v>
      </c>
    </row>
    <row r="1872" spans="1:2" x14ac:dyDescent="0.2">
      <c r="A1872" s="1" t="s">
        <v>3884</v>
      </c>
      <c r="B1872" s="1" t="str">
        <f ca="1">IFERROR(__xludf.DUMFUNCTION("GOOGLETRANSLATE(A1926,""id"",""en"")")," application check for  pertalite diesel gas station ")</f>
        <v xml:space="preserve"> application check for  pertalite diesel gas station </v>
      </c>
    </row>
    <row r="1873" spans="1:2" x14ac:dyDescent="0.2">
      <c r="A1873" s="1" t="s">
        <v>3885</v>
      </c>
      <c r="B1873" s="1" t="str">
        <f ca="1">IFERROR(__xludf.DUMFUNCTION("GOOGLETRANSLATE(A1927,""id"",""en"")"),"I don't use  app, try googling and the main info is dftr the site is from there, it can be a different person, the QRCode that is used to buy it can be downloaded and safe nti just show the gas station")</f>
        <v>I don't use  app, try googling and the main info is dftr the site is from there, it can be a different person, the QRCode that is used to buy it can be downloaded and safe nti just show the gas station</v>
      </c>
    </row>
    <row r="1874" spans="1:2" x14ac:dyDescent="0.2">
      <c r="A1874" s="1" t="s">
        <v>3886</v>
      </c>
      <c r="B1874" s="1" t="str">
        <f ca="1">IFERROR(__xludf.DUMFUNCTION("GOOGLETRANSLATE(A1928,""id"",""en"")"),"Implementation of BBM BUY SUBSIDI BUY TYPE PERTALITE SOLAR  APPLICATION LAKU JAVA ISLANDS SEPTEMBER MOSTUPDATE")</f>
        <v>Implementation of BBM BUY SUBSIDI BUY TYPE PERTALITE SOLAR  APPLICATION LAKU JAVA ISLANDS SEPTEMBER MOSTUPDATE</v>
      </c>
    </row>
    <row r="1875" spans="1:2" x14ac:dyDescent="0.2">
      <c r="A1875" s="1" t="s">
        <v>3887</v>
      </c>
      <c r="B1875" s="1" t="str">
        <f ca="1">IFERROR(__xludf.DUMFUNCTION("GOOGLETRANSLATE(A1929,""id"",""en"")")," application print information plus BBM BBM subsidized buddy pay cashless according to the gas station payment method.")</f>
        <v xml:space="preserve"> application print information plus BBM BBM subsidized buddy pay cashless according to the gas station payment method.</v>
      </c>
    </row>
    <row r="1876" spans="1:2" x14ac:dyDescent="0.2">
      <c r="A1876" s="1" t="s">
        <v>106</v>
      </c>
      <c r="B1876" s="1" t="str">
        <f ca="1">IFERROR(__xludf.DUMFUNCTION("GOOGLETRANSLATE(A1930,""id"",""en"")"),"Hi friend rhiner information definitely belongs to the list of websites confirming consumer rights receive fuel subsidies qr code sambung")</f>
        <v>Hi friend rhiner information definitely belongs to the list of websites confirming consumer rights receive fuel subsidies qr code sambung</v>
      </c>
    </row>
    <row r="1877" spans="1:2" x14ac:dyDescent="0.2">
      <c r="A1877" s="1" t="s">
        <v>3888</v>
      </c>
      <c r="B1877" s="1" t="str">
        <f ca="1">IFERROR(__xludf.DUMFUNCTION("GOOGLETRANSLATE(A1931,""id"",""en"")"),"Thank you for the prosperous people, STNK Buy Pertalite Suitable Nopol per List")</f>
        <v>Thank you for the prosperous people, STNK Buy Pertalite Suitable Nopol per List</v>
      </c>
    </row>
    <row r="1878" spans="1:2" x14ac:dyDescent="0.2">
      <c r="A1878" s="1" t="s">
        <v>3889</v>
      </c>
      <c r="B1878" s="1" t="str">
        <f ca="1">IFERROR(__xludf.DUMFUNCTION("GOOGLETRANSLATE(A1932,""id"",""en"")"),"know examples of consequences of conflict norms clay  you re welcome")</f>
        <v>know examples of consequences of conflict norms clay  you re welcome</v>
      </c>
    </row>
    <row r="1879" spans="1:2" x14ac:dyDescent="0.2">
      <c r="A1879" s="1" t="s">
        <v>3890</v>
      </c>
      <c r="B1879" s="1" t="str">
        <f ca="1">IFERROR(__xludf.DUMFUNCTION("GOOGLETRANSLATE(A1933,""id"",""en"")"),"Alas  Believes Corruption Social Affairs")</f>
        <v>Alas  Believes Corruption Social Affairs</v>
      </c>
    </row>
    <row r="1880" spans="1:2" x14ac:dyDescent="0.2">
      <c r="A1880" s="1" t="s">
        <v>3891</v>
      </c>
      <c r="B1880" s="1" t="str">
        <f ca="1">IFERROR(__xludf.DUMFUNCTION("GOOGLETRANSLATE(A1934,""id"",""en"")"),"Buy BBM Subsidies Using the PKS State Application Makes the troubles of the people Pipinsopian   BBM Pertalite Pertamax PKS")</f>
        <v>Buy BBM Subsidies Using the PKS State Application Makes the troubles of the people Pipinsopian   BBM Pertalite Pertamax PKS</v>
      </c>
    </row>
    <row r="1881" spans="1:2" x14ac:dyDescent="0.2">
      <c r="A1881" s="1" t="s">
        <v>3892</v>
      </c>
      <c r="B1881" s="1" t="str">
        <f ca="1">IFERROR(__xludf.DUMFUNCTION("GOOGLETRANSLATE(A1935,""id"",""en"")"),"July PT  Mandatory Community  Application Buy Pertalite Solar SUBSIDI SAFE OPEN HP SPBU SIMAK Answer")</f>
        <v>July PT  Mandatory Community  Application Buy Pertalite Solar SUBSIDI SAFE OPEN HP SPBU SIMAK Answer</v>
      </c>
    </row>
    <row r="1882" spans="1:2" x14ac:dyDescent="0.2">
      <c r="A1882" s="1" t="s">
        <v>3893</v>
      </c>
      <c r="B1882" s="1" t="str">
        <f ca="1">IFERROR(__xludf.DUMFUNCTION("GOOGLETRANSLATE(A1936,""id"",""en"")"),"Download the  Application Buy Pertalite Solar Pay Cash")</f>
        <v>Download the  Application Buy Pertalite Solar Pay Cash</v>
      </c>
    </row>
    <row r="1883" spans="1:2" x14ac:dyDescent="0.2">
      <c r="A1883" s="1" t="s">
        <v>2544</v>
      </c>
      <c r="B1883" s="1" t="str">
        <f ca="1">IFERROR(__xludf.DUMFUNCTION("GOOGLETRANSLATE(A1937,""id"",""en"")"),"PT  Patra Niaga Opens the Identity of the  Website Identity July List for QR Code Buying BBM Subsidies  SPBU")</f>
        <v>PT  Patra Niaga Opens the Identity of the  Website Identity July List for QR Code Buying BBM Subsidies  SPBU</v>
      </c>
    </row>
    <row r="1884" spans="1:2" x14ac:dyDescent="0.2">
      <c r="A1884" s="1" t="s">
        <v>3894</v>
      </c>
      <c r="B1884" s="1" t="str">
        <f ca="1">IFERROR(__xludf.DUMFUNCTION("GOOGLETRANSLATE(A1938,""id"",""en"")"),"Terms of Document for the Purchase List of Pertalite Solar ")</f>
        <v xml:space="preserve">Terms of Document for the Purchase List of Pertalite Solar </v>
      </c>
    </row>
    <row r="1885" spans="1:2" x14ac:dyDescent="0.2">
      <c r="A1885" s="1" t="s">
        <v>3895</v>
      </c>
      <c r="B1885" s="1" t="str">
        <f ca="1">IFERROR(__xludf.DUMFUNCTION("GOOGLETRANSLATE(A1939,""id"",""en"")"),"List of buying Pertalite Solar July ")</f>
        <v xml:space="preserve">List of buying Pertalite Solar July </v>
      </c>
    </row>
    <row r="1886" spans="1:2" x14ac:dyDescent="0.2">
      <c r="A1886" s="1" t="s">
        <v>3896</v>
      </c>
      <c r="B1886" s="1" t="str">
        <f ca="1">IFERROR(__xludf.DUMFUNCTION("GOOGLETRANSLATE(A1941,""id"",""en"")")," plans to buy LPG Kg Kg  Application Director of PT  Patra Patra Niaga Mars Ega Legowo Plan to Press Consumption of LPG Kg Kg Subsidized Gun")</f>
        <v xml:space="preserve"> plans to buy LPG Kg Kg  Application Director of PT  Patra Patra Niaga Mars Ega Legowo Plan to Press Consumption of LPG Kg Kg Subsidized Gun</v>
      </c>
    </row>
    <row r="1887" spans="1:2" x14ac:dyDescent="0.2">
      <c r="A1887" s="1" t="s">
        <v>3897</v>
      </c>
      <c r="B1887" s="1" t="str">
        <f ca="1">IFERROR(__xludf.DUMFUNCTION("GOOGLETRANSLATE(A1942,""id"",""en"")"),"List of Pertalite Solar Application ")</f>
        <v xml:space="preserve">List of Pertalite Solar Application </v>
      </c>
    </row>
    <row r="1888" spans="1:2" x14ac:dyDescent="0.2">
      <c r="A1888" s="1" t="s">
        <v>3898</v>
      </c>
      <c r="B1888" s="1" t="str">
        <f ca="1">IFERROR(__xludf.DUMFUNCTION("GOOGLETRANSLATE(A1943,""id"",""en"")")," Downloaded Google Play Store App Store Hati Hati ")</f>
        <v xml:space="preserve"> Downloaded Google Play Store App Store Hati Hati </v>
      </c>
    </row>
    <row r="1889" spans="1:2" x14ac:dyDescent="0.2">
      <c r="A1889" s="1" t="s">
        <v>3899</v>
      </c>
      <c r="B1889" s="1" t="str">
        <f ca="1">IFERROR(__xludf.DUMFUNCTION("GOOGLETRANSLATE(A1944,""id"",""en"")"),"Member of the House of Representatives Commission VI RI Faction Nasdem Brother Rudi Hartono Bangun Wisely Buy BBM Types of Pertalite Solar Subsidies List of  Website Difficult Community")</f>
        <v>Member of the House of Representatives Commission VI RI Faction Nasdem Brother Rudi Hartono Bangun Wisely Buy BBM Types of Pertalite Solar Subsidies List of  Website Difficult Community</v>
      </c>
    </row>
    <row r="1890" spans="1:2" x14ac:dyDescent="0.2">
      <c r="A1890" s="1" t="s">
        <v>3900</v>
      </c>
      <c r="B1890" s="1" t="str">
        <f ca="1">IFERROR(__xludf.DUMFUNCTION("GOOGLETRANSLATE(A1945,""id"",""en"")"),"Residents Buy Pertalite Mandatory Use  Applications")</f>
        <v>Residents Buy Pertalite Mandatory Use  Applications</v>
      </c>
    </row>
    <row r="1891" spans="1:2" x14ac:dyDescent="0.2">
      <c r="A1891" s="1" t="s">
        <v>107</v>
      </c>
      <c r="B1891" s="1" t="str">
        <f ca="1">IFERROR(__xludf.DUMFUNCTION("GOOGLETRANSLATE(A1946,""id"",""en"")"),"list sis, try to use the wheels of a smart phone car")</f>
        <v>list sis, try to use the wheels of a smart phone car</v>
      </c>
    </row>
    <row r="1892" spans="1:2" x14ac:dyDescent="0.2">
      <c r="A1892" s="1" t="s">
        <v>3901</v>
      </c>
      <c r="B1892" s="1" t="str">
        <f ca="1">IFERROR(__xludf.DUMFUNCTION("GOOGLETRANSLATE(A1947,""id"",""en"")"),"BBM Buy Lpg Kg List ")</f>
        <v xml:space="preserve">BBM Buy Lpg Kg List </v>
      </c>
    </row>
    <row r="1893" spans="1:2" x14ac:dyDescent="0.2">
      <c r="A1893" s="1" t="s">
        <v>108</v>
      </c>
      <c r="B1893" s="1" t="str">
        <f ca="1">IFERROR(__xludf.DUMFUNCTION("GOOGLETRANSLATE(A1948,""id"",""en"")"),"wise gas subsidized gas average kg")</f>
        <v>wise gas subsidized gas average kg</v>
      </c>
    </row>
    <row r="1894" spans="1:2" x14ac:dyDescent="0.2">
      <c r="A1894" s="1" t="s">
        <v>3897</v>
      </c>
      <c r="B1894" s="1" t="str">
        <f ca="1">IFERROR(__xludf.DUMFUNCTION("GOOGLETRANSLATE(A1949,""id"",""en"")"),"List of Pertalite Solar Application ")</f>
        <v xml:space="preserve">List of Pertalite Solar Application </v>
      </c>
    </row>
    <row r="1895" spans="1:2" x14ac:dyDescent="0.2">
      <c r="A1895" s="1" t="s">
        <v>3902</v>
      </c>
      <c r="B1895" s="1" t="str">
        <f ca="1">IFERROR(__xludf.DUMFUNCTION("GOOGLETRANSLATE(A1950,""id"",""en"")"),"Buy LPG Kg Using the  Application Consumer Trading Response")</f>
        <v>Buy LPG Kg Using the  Application Consumer Trading Response</v>
      </c>
    </row>
    <row r="1896" spans="1:2" x14ac:dyDescent="0.2">
      <c r="A1896" s="1" t="s">
        <v>3903</v>
      </c>
      <c r="B1896" s="1" t="str">
        <f ca="1">IFERROR(__xludf.DUMFUNCTION("GOOGLETRANSLATE(A1951,""id"",""en"")"),"easy to register  buy solar pertalite via")</f>
        <v>easy to register  buy solar pertalite via</v>
      </c>
    </row>
    <row r="1897" spans="1:2" x14ac:dyDescent="0.2">
      <c r="A1897" s="1" t="s">
        <v>3904</v>
      </c>
      <c r="B1897" s="1" t="str">
        <f ca="1">IFERROR(__xludf.DUMFUNCTION("GOOGLETRANSLATE(A1952,""id"",""en"")"),"June Buy Migor Using Kk Amp Pedulilati July History of the Republic of Indonesia Buy BBM Subsidies Using the  Application Basic Electricity Tariff August Husband who is boosting Bini Nye Mandatory Barcode AMP AMP is destroyed by the nation")</f>
        <v>June Buy Migor Using Kk Amp Pedulilati July History of the Republic of Indonesia Buy BBM Subsidies Using the  Application Basic Electricity Tariff August Husband who is boosting Bini Nye Mandatory Barcode AMP AMP is destroyed by the nation</v>
      </c>
    </row>
    <row r="1898" spans="1:2" x14ac:dyDescent="0.2">
      <c r="A1898" s="1" t="s">
        <v>3905</v>
      </c>
      <c r="B1898" s="1" t="str">
        <f ca="1">IFERROR(__xludf.DUMFUNCTION("GOOGLETRANSLATE(A1953,""id"",""en"")"),"already downloaded ")</f>
        <v xml:space="preserve">already downloaded </v>
      </c>
    </row>
    <row r="1899" spans="1:2" x14ac:dyDescent="0.2">
      <c r="A1899" s="1" t="s">
        <v>3906</v>
      </c>
      <c r="B1899" s="1" t="str">
        <f ca="1">IFERROR(__xludf.DUMFUNCTION("GOOGLETRANSLATE(A1954,""id"",""en"")"),"Criteria for Motorbike Car Barang Fill Pertalite  List")</f>
        <v>Criteria for Motorbike Car Barang Fill Pertalite  List</v>
      </c>
    </row>
    <row r="1900" spans="1:2" x14ac:dyDescent="0.2">
      <c r="A1900" s="1" t="s">
        <v>3907</v>
      </c>
      <c r="B1900" s="1" t="str">
        <f ca="1">IFERROR(__xludf.DUMFUNCTION("GOOGLETRANSLATE(A1955,""id"",""en"")"),"Economist The value of 's efforts to buy LPG Kg  forced")</f>
        <v>Economist The value of 's efforts to buy LPG Kg  forced</v>
      </c>
    </row>
    <row r="1901" spans="1:2" x14ac:dyDescent="0.2">
      <c r="A1901" s="1" t="s">
        <v>3908</v>
      </c>
      <c r="B1901" s="1" t="str">
        <f ca="1">IFERROR(__xludf.DUMFUNCTION("GOOGLETRANSLATE(A1956,""id"",""en"")"),"Tight Buy Pertalite Solar PT  Persero Strictly Buy LPG Kg Tight Sasar Buy Mandatory Buy List of  Beritasonora")</f>
        <v>Tight Buy Pertalite Solar PT  Persero Strictly Buy LPG Kg Tight Sasar Buy Mandatory Buy List of  Beritasonora</v>
      </c>
    </row>
    <row r="1902" spans="1:2" x14ac:dyDescent="0.2">
      <c r="A1902" s="1" t="s">
        <v>3909</v>
      </c>
      <c r="B1902" s="1" t="str">
        <f ca="1">IFERROR(__xludf.DUMFUNCTION("GOOGLETRANSLATE(A1958,""id"",""en"")"),"Buy gasoline gasoline using  paying using a popular paid method")</f>
        <v>Buy gasoline gasoline using  paying using a popular paid method</v>
      </c>
    </row>
    <row r="1903" spans="1:2" x14ac:dyDescent="0.2">
      <c r="A1903" s="1" t="s">
        <v>3910</v>
      </c>
      <c r="B1903" s="1" t="str">
        <f ca="1">IFERROR(__xludf.DUMFUNCTION("GOOGLETRANSLATE(A1962,""id"",""en"")"),"Bandung residents are required to buy Pertalite using a  application motorbike")</f>
        <v>Bandung residents are required to buy Pertalite using a  application motorbike</v>
      </c>
    </row>
    <row r="1904" spans="1:2" x14ac:dyDescent="0.2">
      <c r="A1904" s="1" t="s">
        <v>3911</v>
      </c>
      <c r="B1904" s="1" t="str">
        <f ca="1">IFERROR(__xludf.DUMFUNCTION("GOOGLETRANSLATE(A1963,""id"",""en"")"),"Residents Buy LPG Kg  Application Difficult Bandarlampung Sumatra")</f>
        <v>Residents Buy LPG Kg  Application Difficult Bandarlampung Sumatra</v>
      </c>
    </row>
    <row r="1905" spans="1:2" x14ac:dyDescent="0.2">
      <c r="A1905" s="1" t="s">
        <v>3912</v>
      </c>
      <c r="B1905" s="1" t="str">
        <f ca="1">IFERROR(__xludf.DUMFUNCTION("GOOGLETRANSLATE(A1965,""id"",""en"")")," tai really all smartphones")</f>
        <v xml:space="preserve"> tai really all smartphones</v>
      </c>
    </row>
    <row r="1906" spans="1:2" x14ac:dyDescent="0.2">
      <c r="A1906" s="1" t="s">
        <v>3913</v>
      </c>
      <c r="B1906" s="1" t="str">
        <f ca="1">IFERROR(__xludf.DUMFUNCTION("GOOGLETRANSLATE(A1966,""id"",""en"")"),"Natural Kite of the  Hlkompasiana Application")</f>
        <v>Natural Kite of the  Hlkompasiana Application</v>
      </c>
    </row>
    <row r="1907" spans="1:2" x14ac:dyDescent="0.2">
      <c r="A1907" s="1" t="s">
        <v>3914</v>
      </c>
      <c r="B1907" s="1" t="str">
        <f ca="1">IFERROR(__xludf.DUMFUNCTION("GOOGLETRANSLATE(A1967,""id"",""en"")"),"Buy Pertalite Solar Subsidies Using ")</f>
        <v xml:space="preserve">Buy Pertalite Solar Subsidies Using </v>
      </c>
    </row>
    <row r="1908" spans="1:2" x14ac:dyDescent="0.2">
      <c r="A1908" s="1" t="s">
        <v>3915</v>
      </c>
      <c r="B1908" s="1" t="str">
        <f ca="1">IFERROR(__xludf.DUMFUNCTION("GOOGLETRANSLATE(A1968,""id"",""en"")"),"Memenyenin App  Makes Steady Make Transportation Bikes Ngantor Amp Performance")</f>
        <v>Memenyenin App  Makes Steady Make Transportation Bikes Ngantor Amp Performance</v>
      </c>
    </row>
    <row r="1909" spans="1:2" x14ac:dyDescent="0.2">
      <c r="A1909" s="1" t="s">
        <v>2522</v>
      </c>
      <c r="B1909" s="1" t="str">
        <f ca="1">IFERROR(__xludf.DUMFUNCTION("GOOGLETRANSLATE(A1969,""id"",""en"")"),"opponent the  kawan application")</f>
        <v>opponent the  kawan application</v>
      </c>
    </row>
    <row r="1910" spans="1:2" x14ac:dyDescent="0.2">
      <c r="A1910" s="1" t="s">
        <v>3066</v>
      </c>
      <c r="B1910" s="1" t="str">
        <f ca="1">IFERROR(__xludf.DUMFUNCTION("GOOGLETRANSLATE(A1970,""id"",""en"")"),"PT  Persero Guna Kendara Roda Motor Mandatory List of ")</f>
        <v xml:space="preserve">PT  Persero Guna Kendara Roda Motor Mandatory List of </v>
      </c>
    </row>
    <row r="1911" spans="1:2" x14ac:dyDescent="0.2">
      <c r="A1911" s="1" t="s">
        <v>3916</v>
      </c>
      <c r="B1911" s="1" t="str">
        <f ca="1">IFERROR(__xludf.DUMFUNCTION("GOOGLETRANSLATE(A1971,""id"",""en"")"),"The DPR is aware of strict use for ")</f>
        <v xml:space="preserve">The DPR is aware of strict use for </v>
      </c>
    </row>
    <row r="1912" spans="1:2" x14ac:dyDescent="0.2">
      <c r="A1912" s="1" t="s">
        <v>3917</v>
      </c>
      <c r="B1912" s="1" t="str">
        <f ca="1">IFERROR(__xludf.DUMFUNCTION("GOOGLETRANSLATE(A1972,""id"",""en"")"),"for a moment asking the one who bought pertalite who lists  roda wheel")</f>
        <v>for a moment asking the one who bought pertalite who lists  roda wheel</v>
      </c>
    </row>
    <row r="1913" spans="1:2" x14ac:dyDescent="0.2">
      <c r="A1913" s="1" t="s">
        <v>109</v>
      </c>
      <c r="B1913" s="1" t="str">
        <f ca="1">IFERROR(__xludf.DUMFUNCTION("GOOGLETRANSLATE(A1973,""id"",""en"")"),"Teach the wrong command to get out of the new stance of subsidiary fuel consumption")</f>
        <v>Teach the wrong command to get out of the new stance of subsidiary fuel consumption</v>
      </c>
    </row>
    <row r="1914" spans="1:2" x14ac:dyDescent="0.2">
      <c r="A1914" s="1" t="s">
        <v>3918</v>
      </c>
      <c r="B1914" s="1" t="str">
        <f ca="1">IFERROR(__xludf.DUMFUNCTION("GOOGLETRANSLATE(A1974,""id"",""en"")"),"buy subsidized lpg using ")</f>
        <v xml:space="preserve">buy subsidized lpg using </v>
      </c>
    </row>
    <row r="1915" spans="1:2" x14ac:dyDescent="0.2">
      <c r="A1915" s="1" t="s">
        <v>3918</v>
      </c>
      <c r="B1915" s="1" t="str">
        <f ca="1">IFERROR(__xludf.DUMFUNCTION("GOOGLETRANSLATE(A1975,""id"",""en"")"),"buy subsidized lpg using ")</f>
        <v xml:space="preserve">buy subsidized lpg using </v>
      </c>
    </row>
    <row r="1916" spans="1:2" x14ac:dyDescent="0.2">
      <c r="A1916" s="1" t="s">
        <v>3918</v>
      </c>
      <c r="B1916" s="1" t="str">
        <f ca="1">IFERROR(__xludf.DUMFUNCTION("GOOGLETRANSLATE(A1976,""id"",""en"")"),"buy subsidized lpg using ")</f>
        <v xml:space="preserve">buy subsidized lpg using </v>
      </c>
    </row>
    <row r="1917" spans="1:2" x14ac:dyDescent="0.2">
      <c r="A1917" s="1" t="s">
        <v>3919</v>
      </c>
      <c r="B1917" s="1" t="str">
        <f ca="1">IFERROR(__xludf.DUMFUNCTION("GOOGLETRANSLATE(A1977,""id"",""en"")"),"Rich really must go out to buy Pertamax lazy list  to care for the engine")</f>
        <v>Rich really must go out to buy Pertamax lazy list  to care for the engine</v>
      </c>
    </row>
    <row r="1918" spans="1:2" x14ac:dyDescent="0.2">
      <c r="A1918" s="1" t="s">
        <v>3920</v>
      </c>
      <c r="B1918" s="1" t="str">
        <f ca="1">IFERROR(__xludf.DUMFUNCTION("GOOGLETRANSLATE(A1978,""id"",""en"")"),"Complete information on the Congregation of  Call Center Visit the Official  SUBSIDITEPET")</f>
        <v>Complete information on the Congregation of  Call Center Visit the Official  SUBSIDITEPET</v>
      </c>
    </row>
    <row r="1919" spans="1:2" x14ac:dyDescent="0.2">
      <c r="A1919" s="1" t="s">
        <v>3921</v>
      </c>
      <c r="B1919" s="1" t="str">
        <f ca="1">IFERROR(__xludf.DUMFUNCTION("GOOGLETRANSLATE(A1979,""id"",""en"")"),"BREAKING NEWS  Implementation of the  BBM Use List")</f>
        <v>BREAKING NEWS  Implementation of the  BBM Use List</v>
      </c>
    </row>
    <row r="1920" spans="1:2" x14ac:dyDescent="0.2">
      <c r="A1920" s="1" t="s">
        <v>3922</v>
      </c>
      <c r="B1920" s="1" t="str">
        <f ca="1">IFERROR(__xludf.DUMFUNCTION("GOOGLETRANSLATE(A1980,""id"",""en"")"),"list of mandatory stages of the list of  buying a special solar pertalite wheel")</f>
        <v>list of mandatory stages of the list of  buying a special solar pertalite wheel</v>
      </c>
    </row>
    <row r="1921" spans="1:2" x14ac:dyDescent="0.2">
      <c r="A1921" s="1" t="s">
        <v>3923</v>
      </c>
      <c r="B1921" s="1" t="str">
        <f ca="1">IFERROR(__xludf.DUMFUNCTION("GOOGLETRANSLATE(A1981,""id"",""en"")"),"Guna LPG KG MUST REGISTER  WEBSITE")</f>
        <v>Guna LPG KG MUST REGISTER  WEBSITE</v>
      </c>
    </row>
    <row r="1922" spans="1:2" x14ac:dyDescent="0.2">
      <c r="A1922" s="1" t="s">
        <v>3923</v>
      </c>
      <c r="B1922" s="1" t="str">
        <f ca="1">IFERROR(__xludf.DUMFUNCTION("GOOGLETRANSLATE(A1982,""id"",""en"")"),"Guna LPG KG MUST REGISTER  WEBSITE")</f>
        <v>Guna LPG KG MUST REGISTER  WEBSITE</v>
      </c>
    </row>
    <row r="1923" spans="1:2" x14ac:dyDescent="0.2">
      <c r="A1923" s="1" t="s">
        <v>981</v>
      </c>
      <c r="B1923" s="1" t="str">
        <f ca="1">IFERROR(__xludf.DUMFUNCTION("GOOGLETRANSLATE(A1983,""id"",""en"")"),"Buddy Help List Friend Consultation BOOTH Consultation SPBU GIWANG GIWANG Branch Office DIY AMP Surakarta July July PATRANIGARJBT ")</f>
        <v xml:space="preserve">Buddy Help List Friend Consultation BOOTH Consultation SPBU GIWANG GIWANG Branch Office DIY AMP Surakarta July July PATRANIGARJBT </v>
      </c>
    </row>
    <row r="1924" spans="1:2" x14ac:dyDescent="0.2">
      <c r="A1924" s="1" t="s">
        <v>3924</v>
      </c>
      <c r="B1924" s="1" t="str">
        <f ca="1">IFERROR(__xludf.DUMFUNCTION("GOOGLETRANSLATE(A1985,""id"",""en"")"),"Article Date July Bal List  Buy Pertalite Solar Subsidy")</f>
        <v>Article Date July Bal List  Buy Pertalite Solar Subsidy</v>
      </c>
    </row>
    <row r="1925" spans="1:2" x14ac:dyDescent="0.2">
      <c r="A1925" s="1" t="s">
        <v>3925</v>
      </c>
      <c r="B1925" s="1" t="str">
        <f ca="1">IFERROR(__xludf.DUMFUNCTION("GOOGLETRANSLATE(A1986,""id"",""en"")"),"looking for poor people belonging to smart phones buying lpg kg using ")</f>
        <v xml:space="preserve">looking for poor people belonging to smart phones buying lpg kg using </v>
      </c>
    </row>
    <row r="1926" spans="1:2" x14ac:dyDescent="0.2">
      <c r="A1926" s="1" t="s">
        <v>3926</v>
      </c>
      <c r="B1926" s="1" t="str">
        <f ca="1">IFERROR(__xludf.DUMFUNCTION("GOOGLETRANSLATE(A1987,""id"",""en"")"),"try using  deg and afraid that the motorbike is queuing up but on the edge of the mestir in the engine scan of qr, choose a vehicle that makes nervous lg entering pins overalls like ATM Vibes, hunting for Tole Iskandar SPBU, Depok")</f>
        <v>try using  deg and afraid that the motorbike is queuing up but on the edge of the mestir in the engine scan of qr, choose a vehicle that makes nervous lg entering pins overalls like ATM Vibes, hunting for Tole Iskandar SPBU, Depok</v>
      </c>
    </row>
    <row r="1927" spans="1:2" x14ac:dyDescent="0.2">
      <c r="A1927" s="1" t="s">
        <v>3927</v>
      </c>
      <c r="B1927" s="1" t="str">
        <f ca="1">IFERROR(__xludf.DUMFUNCTION("GOOGLETRANSLATE(A1988,""id"",""en"")"),"Pay attention to the data of buying Pertalite solar subsidies  car behavior")</f>
        <v>Pay attention to the data of buying Pertalite solar subsidies  car behavior</v>
      </c>
    </row>
    <row r="1928" spans="1:2" x14ac:dyDescent="0.2">
      <c r="A1928" s="1" t="s">
        <v>3928</v>
      </c>
      <c r="B1928" s="1" t="str">
        <f ca="1">IFERROR(__xludf.DUMFUNCTION("GOOGLETRANSLATE(A1989,""id"",""en"")"),"Pertalite Solar Buy LPG Kg Gas Mandatory List of  Applications")</f>
        <v>Pertalite Solar Buy LPG Kg Gas Mandatory List of  Applications</v>
      </c>
    </row>
    <row r="1929" spans="1:2" x14ac:dyDescent="0.2">
      <c r="A1929" s="1" t="s">
        <v>3929</v>
      </c>
      <c r="B1929" s="1" t="str">
        <f ca="1">IFERROR(__xludf.DUMFUNCTION("GOOGLETRANSLATE(A1990,""id"",""en"")"),"see buying pertalite ")</f>
        <v xml:space="preserve">see buying pertalite </v>
      </c>
    </row>
    <row r="1930" spans="1:2" x14ac:dyDescent="0.2">
      <c r="A1930" s="1" t="s">
        <v>110</v>
      </c>
      <c r="B1930" s="1" t="str">
        <f ca="1">IFERROR(__xludf.DUMFUNCTION("GOOGLETRANSLATE(A1991,""id"",""en"")"),"Tata Consumer List of Solar Subsidies Pertalite Roda Date July List of Kendara Service Buy Solar Subsidies Pertalite Special Website")</f>
        <v>Tata Consumer List of Solar Subsidies Pertalite Roda Date July List of Kendara Service Buy Solar Subsidies Pertalite Special Website</v>
      </c>
    </row>
    <row r="1931" spans="1:2" x14ac:dyDescent="0.2">
      <c r="A1931" s="1" t="s">
        <v>3930</v>
      </c>
      <c r="B1931" s="1" t="str">
        <f ca="1">IFERROR(__xludf.DUMFUNCTION("GOOGLETRANSLATE(A1992,""id"",""en"")"),"mgkn blum download ")</f>
        <v xml:space="preserve">mgkn blum download </v>
      </c>
    </row>
    <row r="1932" spans="1:2" x14ac:dyDescent="0.2">
      <c r="A1932" s="1" t="s">
        <v>3931</v>
      </c>
      <c r="B1932" s="1" t="str">
        <f ca="1">IFERROR(__xludf.DUMFUNCTION("GOOGLETRANSLATE(A1993,""id"",""en"")"),"a list of the  website to get a qr code July")</f>
        <v>a list of the  website to get a qr code July</v>
      </c>
    </row>
    <row r="1933" spans="1:2" x14ac:dyDescent="0.2">
      <c r="A1933" s="1" t="s">
        <v>3932</v>
      </c>
      <c r="B1933" s="1" t="str">
        <f ca="1">IFERROR(__xludf.DUMFUNCTION("GOOGLETRANSLATE(A1994,""id"",""en"")"),"give me a crowd stars, , otw moved shell to use the application to see me")</f>
        <v>give me a crowd stars, , otw moved shell to use the application to see me</v>
      </c>
    </row>
    <row r="1934" spans="1:2" x14ac:dyDescent="0.2">
      <c r="A1934" s="1" t="s">
        <v>3933</v>
      </c>
      <c r="B1934" s="1" t="str">
        <f ca="1">IFERROR(__xludf.DUMFUNCTION("GOOGLETRANSLATE(A1995,""id"",""en"")"),"Those who use  gas station Coco Patrang Mas gas station, don't")</f>
        <v>Those who use  gas station Coco Patrang Mas gas station, don't</v>
      </c>
    </row>
    <row r="1935" spans="1:2" x14ac:dyDescent="0.2">
      <c r="A1935" s="1" t="s">
        <v>3934</v>
      </c>
      <c r="B1935" s="1" t="str">
        <f ca="1">IFERROR(__xludf.DUMFUNCTION("GOOGLETRANSLATE(A1996,""id"",""en"")"),"Buy Pertalite Solar Using the  Application Citizens forbid using a gas station cellphone")</f>
        <v>Buy Pertalite Solar Using the  Application Citizens forbid using a gas station cellphone</v>
      </c>
    </row>
    <row r="1936" spans="1:2" x14ac:dyDescent="0.2">
      <c r="A1936" s="1" t="s">
        <v>3935</v>
      </c>
      <c r="B1936" s="1" t="str">
        <f ca="1">IFERROR(__xludf.DUMFUNCTION("GOOGLETRANSLATE(A1997,""id"",""en"")"),"Buy LPG Kg List of  Sariagri Tani Applications")</f>
        <v>Buy LPG Kg List of  Sariagri Tani Applications</v>
      </c>
    </row>
    <row r="1937" spans="1:2" x14ac:dyDescent="0.2">
      <c r="A1937" s="1" t="s">
        <v>3936</v>
      </c>
      <c r="B1937" s="1" t="str">
        <f ca="1">IFERROR(__xludf.DUMFUNCTION("GOOGLETRANSLATE(A1998,""id"",""en"")"),"RKUHP KU CLOSED  PEJING POLICE")</f>
        <v>RKUHP KU CLOSED  PEJING POLICE</v>
      </c>
    </row>
    <row r="1938" spans="1:2" x14ac:dyDescent="0.2">
      <c r="A1938" s="1" t="s">
        <v>111</v>
      </c>
      <c r="B1938" s="1" t="str">
        <f ca="1">IFERROR(__xludf.DUMFUNCTION("GOOGLETRANSLATE(A1999,""id"",""en"")"),"Core Indonesia Executive Director Mohammad Faisal wise value buying lpg kg no application")</f>
        <v>Core Indonesia Executive Director Mohammad Faisal wise value buying lpg kg no application</v>
      </c>
    </row>
    <row r="1939" spans="1:2" x14ac:dyDescent="0.2">
      <c r="A1939" s="1" t="s">
        <v>3937</v>
      </c>
      <c r="B1939" s="1" t="str">
        <f ca="1">IFERROR(__xludf.DUMFUNCTION("GOOGLETRANSLATE(A2000,""id"",""en"")"),"For Motorcycle List  Buy Pertalite July ")</f>
        <v xml:space="preserve">For Motorcycle List  Buy Pertalite July </v>
      </c>
    </row>
    <row r="1940" spans="1:2" x14ac:dyDescent="0.2">
      <c r="A1940" s="1" t="s">
        <v>3866</v>
      </c>
      <c r="B1940" s="1" t="str">
        <f ca="1">IFERROR(__xludf.DUMFUNCTION("GOOGLETRANSLATE(A2001,""id"",""en"")"),"DPR Guna  Buy Pertalite Awas Strictly")</f>
        <v>DPR Guna  Buy Pertalite Awas Strictly</v>
      </c>
    </row>
    <row r="1941" spans="1:2" x14ac:dyDescent="0.2">
      <c r="A1941" s="1" t="s">
        <v>3938</v>
      </c>
      <c r="B1941" s="1" t="str">
        <f ca="1">IFERROR(__xludf.DUMFUNCTION("GOOGLETRANSLATE(A2002,""id"",""en"")"),"Buy oil using protected oil, buy gasoline using ")</f>
        <v xml:space="preserve">Buy oil using protected oil, buy gasoline using </v>
      </c>
    </row>
    <row r="1942" spans="1:2" x14ac:dyDescent="0.2">
      <c r="A1942" s="1" t="s">
        <v>3939</v>
      </c>
      <c r="B1942" s="1" t="str">
        <f ca="1">IFERROR(__xludf.DUMFUNCTION("GOOGLETRANSLATE(A2003,""id"",""en"")"),"Yes, for a moment install ")</f>
        <v xml:space="preserve">Yes, for a moment install </v>
      </c>
    </row>
    <row r="1943" spans="1:2" x14ac:dyDescent="0.2">
      <c r="A1943" s="1" t="s">
        <v>112</v>
      </c>
      <c r="B1943" s="1" t="str">
        <f ca="1">IFERROR(__xludf.DUMFUNCTION("GOOGLETRANSLATE(A2004,""id"",""en"")"),"Core Indonesia Executive Director Mohammad Faisal wise value to buy LPG Kg Application Following Poor Poor Communities owned by Smartphone Via")</f>
        <v>Core Indonesia Executive Director Mohammad Faisal wise value to buy LPG Kg Application Following Poor Poor Communities owned by Smartphone Via</v>
      </c>
    </row>
    <row r="1944" spans="1:2" x14ac:dyDescent="0.2">
      <c r="A1944" s="1" t="s">
        <v>3940</v>
      </c>
      <c r="B1944" s="1" t="str">
        <f ca="1">IFERROR(__xludf.DUMFUNCTION("GOOGLETRANSLATE(A2005,""id"",""en"")"),"Buy BBM Types of Pertalite Solar Subsidies List of  Applications Buy Fuel Products The Terporial Stage of Indonesia Region")</f>
        <v>Buy BBM Types of Pertalite Solar Subsidies List of  Applications Buy Fuel Products The Terporial Stage of Indonesia Region</v>
      </c>
    </row>
    <row r="1945" spans="1:2" x14ac:dyDescent="0.2">
      <c r="A1945" s="1" t="s">
        <v>3941</v>
      </c>
      <c r="B1945" s="1" t="str">
        <f ca="1">IFERROR(__xludf.DUMFUNCTION("GOOGLETRANSLATE(A2006,""id"",""en"")")," Ku  MU")</f>
        <v xml:space="preserve"> Ku  MU</v>
      </c>
    </row>
    <row r="1946" spans="1:2" x14ac:dyDescent="0.2">
      <c r="A1946" s="1" t="s">
        <v>3942</v>
      </c>
      <c r="B1946" s="1" t="str">
        <f ca="1">IFERROR(__xludf.DUMFUNCTION("GOOGLETRANSLATE(A2007,""id"",""en"")"),"Playing HP prohibits gas stations pay bbm told to use ")</f>
        <v xml:space="preserve">Playing HP prohibits gas stations pay bbm told to use </v>
      </c>
    </row>
    <row r="1947" spans="1:2" x14ac:dyDescent="0.2">
      <c r="A1947" s="1" t="s">
        <v>3943</v>
      </c>
      <c r="B1947" s="1" t="str">
        <f ca="1">IFERROR(__xludf.DUMFUNCTION("GOOGLETRANSLATE(A2008,""id"",""en"")"),"LPG Kg Kg Consumers Must Register  Sites")</f>
        <v>LPG Kg Kg Consumers Must Register  Sites</v>
      </c>
    </row>
    <row r="1948" spans="1:2" x14ac:dyDescent="0.2">
      <c r="A1948" s="1" t="s">
        <v>3944</v>
      </c>
      <c r="B1948" s="1" t="str">
        <f ca="1">IFERROR(__xludf.DUMFUNCTION("GOOGLETRANSLATE(A2009,""id"",""en"")"),"Hi Sobatkom know PT  Persero continues to set the fuel oil fuel fuel type Pertalite Solar Subsidy Kendara Roda Application ")</f>
        <v xml:space="preserve">Hi Sobatkom know PT  Persero continues to set the fuel oil fuel fuel type Pertalite Solar Subsidy Kendara Roda Application </v>
      </c>
    </row>
    <row r="1949" spans="1:2" x14ac:dyDescent="0.2">
      <c r="A1949" s="1" t="s">
        <v>113</v>
      </c>
      <c r="B1949" s="1" t="str">
        <f ca="1">IFERROR(__xludf.DUMFUNCTION("GOOGLETRANSLATE(A2010,""id"",""en"")"),"Initiative note by valid data on the Sasar Subsidy BBM")</f>
        <v>Initiative note by valid data on the Sasar Subsidy BBM</v>
      </c>
    </row>
    <row r="1950" spans="1:2" x14ac:dyDescent="0.2">
      <c r="A1950" s="1" t="s">
        <v>3945</v>
      </c>
      <c r="B1950" s="1" t="str">
        <f ca="1">IFERROR(__xludf.DUMFUNCTION("GOOGLETRANSLATE(A2011,""id"",""en"")"),"Pertalite Solar Buy  LPG Gas")</f>
        <v>Pertalite Solar Buy  LPG Gas</v>
      </c>
    </row>
    <row r="1951" spans="1:2" x14ac:dyDescent="0.2">
      <c r="A1951" s="1" t="s">
        <v>3946</v>
      </c>
      <c r="B1951" s="1" t="str">
        <f ca="1">IFERROR(__xludf.DUMFUNCTION("GOOGLETRANSLATE(A2012,""id"",""en"")"),"LPG gas for the poor, the poor, the poor, if the cellphone is not old school")</f>
        <v>LPG gas for the poor, the poor, the poor, if the cellphone is not old school</v>
      </c>
    </row>
    <row r="1952" spans="1:2" x14ac:dyDescent="0.2">
      <c r="A1952" s="1" t="s">
        <v>113</v>
      </c>
      <c r="B1952" s="1" t="str">
        <f ca="1">IFERROR(__xludf.DUMFUNCTION("GOOGLETRANSLATE(A2013,""id"",""en"")"),"Initiative note by valid data on the Sasar Subsidy BBM")</f>
        <v>Initiative note by valid data on the Sasar Subsidy BBM</v>
      </c>
    </row>
    <row r="1953" spans="1:2" x14ac:dyDescent="0.2">
      <c r="A1953" s="1" t="s">
        <v>3947</v>
      </c>
      <c r="B1953" s="1" t="str">
        <f ca="1">IFERROR(__xludf.DUMFUNCTION("GOOGLETRANSLATE(A2014,""id"",""en"")"),"pros and cons buy pertalite  smartphone")</f>
        <v>pros and cons buy pertalite  smartphone</v>
      </c>
    </row>
    <row r="1954" spans="1:2" x14ac:dyDescent="0.2">
      <c r="A1954" s="1" t="s">
        <v>3948</v>
      </c>
      <c r="B1954" s="1" t="str">
        <f ca="1">IFERROR(__xludf.DUMFUNCTION("GOOGLETRANSLATE(A2015,""id"",""en"")"),"buy pertalite using  simultaneously in September specifically Java")</f>
        <v>buy pertalite using  simultaneously in September specifically Java</v>
      </c>
    </row>
    <row r="1955" spans="1:2" x14ac:dyDescent="0.2">
      <c r="A1955" s="1" t="s">
        <v>3949</v>
      </c>
      <c r="B1955" s="1" t="str">
        <f ca="1">IFERROR(__xludf.DUMFUNCTION("GOOGLETRANSLATE(A2016,""id"",""en"")"),"parents are keen already complaining about the contents of gasoline using  lom")</f>
        <v>parents are keen already complaining about the contents of gasoline using  lom</v>
      </c>
    </row>
    <row r="1956" spans="1:2" x14ac:dyDescent="0.2">
      <c r="A1956" s="1" t="s">
        <v>3950</v>
      </c>
      <c r="B1956" s="1" t="str">
        <f ca="1">IFERROR(__xludf.DUMFUNCTION("GOOGLETRANSLATE(A2017,""id"",""en"")"),"Pertalite Buy LPG Kilogram Using the  PT Application")</f>
        <v>Pertalite Buy LPG Kilogram Using the  PT Application</v>
      </c>
    </row>
    <row r="1957" spans="1:2" x14ac:dyDescent="0.2">
      <c r="A1957" s="1" t="s">
        <v>3951</v>
      </c>
      <c r="B1957" s="1" t="str">
        <f ca="1">IFERROR(__xludf.DUMFUNCTION("GOOGLETRANSLATE(A2018,""id"",""en"")"),"Access the  QR Code application, Print Out with a gas station with Pertalite Solar   Petralite Solar Subsidy")</f>
        <v>Access the  QR Code application, Print Out with a gas station with Pertalite Solar   Petralite Solar Subsidy</v>
      </c>
    </row>
    <row r="1958" spans="1:2" x14ac:dyDescent="0.2">
      <c r="A1958" s="1" t="s">
        <v>982</v>
      </c>
      <c r="B1958" s="1" t="str">
        <f ca="1">IFERROR(__xludf.DUMFUNCTION("GOOGLETRANSLATE(A2020,""id"",""en"")"),"Test for the City of Alas  City Stage Mandatory Pertalite Buying Applications")</f>
        <v>Test for the City of Alas  City Stage Mandatory Pertalite Buying Applications</v>
      </c>
    </row>
    <row r="1959" spans="1:2" x14ac:dyDescent="0.2">
      <c r="A1959" s="1" t="s">
        <v>983</v>
      </c>
      <c r="B1959" s="1" t="str">
        <f ca="1">IFERROR(__xludf.DUMFUNCTION("GOOGLETRANSLATE(A2021,""id"",""en"")")," President Director Patra Niaga Alfian Nasution Salur BBM Subsidized Set the Side of the SEGMENTATION quota")</f>
        <v xml:space="preserve"> President Director Patra Niaga Alfian Nasution Salur BBM Subsidized Set the Side of the SEGMENTATION quota</v>
      </c>
    </row>
    <row r="1960" spans="1:2" x14ac:dyDescent="0.2">
      <c r="A1960" s="1" t="s">
        <v>3945</v>
      </c>
      <c r="B1960" s="1" t="str">
        <f ca="1">IFERROR(__xludf.DUMFUNCTION("GOOGLETRANSLATE(A2022,""id"",""en"")"),"Pertalite Solar Buy  LPG Gas")</f>
        <v>Pertalite Solar Buy  LPG Gas</v>
      </c>
    </row>
    <row r="1961" spans="1:2" x14ac:dyDescent="0.2">
      <c r="A1961" s="1" t="s">
        <v>3952</v>
      </c>
      <c r="B1961" s="1" t="str">
        <f ca="1">IFERROR(__xludf.DUMFUNCTION("GOOGLETRANSLATE(A2023,""id"",""en"")"),"Chairperson of YLKI Tulus Abadi Value of Purchasing Fuel Fuel Subsidies   Application Lost People's Access to Hp Internet Net")</f>
        <v>Chairperson of YLKI Tulus Abadi Value of Purchasing Fuel Fuel Subsidies   Application Lost People's Access to Hp Internet Net</v>
      </c>
    </row>
    <row r="1962" spans="1:2" x14ac:dyDescent="0.2">
      <c r="A1962" s="1" t="s">
        <v>3945</v>
      </c>
      <c r="B1962" s="1" t="str">
        <f ca="1">IFERROR(__xludf.DUMFUNCTION("GOOGLETRANSLATE(A2024,""id"",""en"")"),"Pertalite Solar Buy  LPG Gas")</f>
        <v>Pertalite Solar Buy  LPG Gas</v>
      </c>
    </row>
    <row r="1963" spans="1:2" x14ac:dyDescent="0.2">
      <c r="A1963" s="1" t="s">
        <v>3953</v>
      </c>
      <c r="B1963" s="1" t="str">
        <f ca="1">IFERROR(__xludf.DUMFUNCTION("GOOGLETRANSLATE(A2025,""id"",""en"")"),"Wait for the  Lite Ajhhh version")</f>
        <v>Wait for the  Lite Ajhhh version</v>
      </c>
    </row>
    <row r="1964" spans="1:2" x14ac:dyDescent="0.2">
      <c r="A1964" s="1" t="s">
        <v>114</v>
      </c>
      <c r="B1964" s="1" t="str">
        <f ca="1">IFERROR(__xludf.DUMFUNCTION("GOOGLETRANSLATE(A2026,""id"",""en"")"),"West Sumatra SPBU location list of buying lists of BBM Pertalite Solar Community")</f>
        <v>West Sumatra SPBU location list of buying lists of BBM Pertalite Solar Community</v>
      </c>
    </row>
    <row r="1965" spans="1:2" x14ac:dyDescent="0.2">
      <c r="A1965" s="1" t="s">
        <v>3954</v>
      </c>
      <c r="B1965" s="1" t="str">
        <f ca="1">IFERROR(__xludf.DUMFUNCTION("GOOGLETRANSLATE(A2027,""id"",""en"")"),"Install the Linkaja Application Mandatory Topup Balance Contents Pay  Stor Money Linkaja Application Not Exhausted Buy Pertalite Remaining Set Balance")</f>
        <v>Install the Linkaja Application Mandatory Topup Balance Contents Pay  Stor Money Linkaja Application Not Exhausted Buy Pertalite Remaining Set Balance</v>
      </c>
    </row>
    <row r="1966" spans="1:2" x14ac:dyDescent="0.2">
      <c r="A1966" s="1" t="s">
        <v>3955</v>
      </c>
      <c r="B1966" s="1" t="str">
        <f ca="1">IFERROR(__xludf.DUMFUNCTION("GOOGLETRANSLATE(A2028,""id"",""en"")")," Command to Borrow People Tofu  Mandatory Paying Application Wallet Linkaja Install Applications")</f>
        <v xml:space="preserve"> Command to Borrow People Tofu  Mandatory Paying Application Wallet Linkaja Install Applications</v>
      </c>
    </row>
    <row r="1967" spans="1:2" x14ac:dyDescent="0.2">
      <c r="A1967" s="1" t="s">
        <v>3956</v>
      </c>
      <c r="B1967" s="1" t="str">
        <f ca="1">IFERROR(__xludf.DUMFUNCTION("GOOGLETRANSLATE(A2029,""id"",""en"")"),"Alhamdulillah, if the Digital  service is worth it, hope")</f>
        <v>Alhamdulillah, if the Digital  service is worth it, hope</v>
      </c>
    </row>
    <row r="1968" spans="1:2" x14ac:dyDescent="0.2">
      <c r="A1968" s="1" t="s">
        <v>3957</v>
      </c>
      <c r="B1968" s="1" t="str">
        <f ca="1">IFERROR(__xludf.DUMFUNCTION("GOOGLETRANSLATE(A2030,""id"",""en"")"),"Anying Citer Kalong Wkwkwkwk from Cit Pb Rf Kembang ")</f>
        <v xml:space="preserve">Anying Citer Kalong Wkwkwkwk from Cit Pb Rf Kembang </v>
      </c>
    </row>
    <row r="1969" spans="1:2" x14ac:dyDescent="0.2">
      <c r="A1969" s="1" t="s">
        <v>3958</v>
      </c>
      <c r="B1969" s="1" t="str">
        <f ca="1">IFERROR(__xludf.DUMFUNCTION("GOOGLETRANSLATE(A2031,""id"",""en"")"),"Like the application gives a promo application to go public , no intention of Kash discount filling in gasoline so that it is like a wallet ecomerce split, not joining like the app buy using a payment in ksh discount")</f>
        <v>Like the application gives a promo application to go public , no intention of Kash discount filling in gasoline so that it is like a wallet ecomerce split, not joining like the app buy using a payment in ksh discount</v>
      </c>
    </row>
    <row r="1970" spans="1:2" x14ac:dyDescent="0.2">
      <c r="A1970" s="1" t="s">
        <v>3959</v>
      </c>
      <c r="B1970" s="1" t="str">
        <f ca="1">IFERROR(__xludf.DUMFUNCTION("GOOGLETRANSLATE(A2032,""id"",""en"")"),"List of  Websites People are worried about the  application")</f>
        <v>List of  Websites People are worried about the  application</v>
      </c>
    </row>
    <row r="1971" spans="1:2" x14ac:dyDescent="0.2">
      <c r="A1971" s="1" t="s">
        <v>3960</v>
      </c>
      <c r="B1971" s="1" t="str">
        <f ca="1">IFERROR(__xludf.DUMFUNCTION("GOOGLETRANSLATE(A2033,""id"",""en"")"),"focus on the list of  web buying fuel subsidies must use")</f>
        <v>focus on the list of  web buying fuel subsidies must use</v>
      </c>
    </row>
    <row r="1972" spans="1:2" x14ac:dyDescent="0.2">
      <c r="A1972" s="1" t="s">
        <v>3961</v>
      </c>
      <c r="B1972" s="1" t="str">
        <f ca="1">IFERROR(__xludf.DUMFUNCTION("GOOGLETRANSLATE(A2034,""id"",""en"")")," System Help Suitable Data Use")</f>
        <v xml:space="preserve"> System Help Suitable Data Use</v>
      </c>
    </row>
    <row r="1973" spans="1:2" x14ac:dyDescent="0.2">
      <c r="A1973" s="1" t="s">
        <v>3962</v>
      </c>
      <c r="B1973" s="1" t="str">
        <f ca="1">IFERROR(__xludf.DUMFUNCTION("GOOGLETRANSLATE(A2035,""id"",""en"")"),"Buy bulk migor using protected guard buy a solar pertalite using  using the administrative application using a photocopy of electronic ID card")</f>
        <v>Buy bulk migor using protected guard buy a solar pertalite using  using the administrative application using a photocopy of electronic ID card</v>
      </c>
    </row>
    <row r="1974" spans="1:2" x14ac:dyDescent="0.2">
      <c r="A1974" s="1" t="s">
        <v>3963</v>
      </c>
      <c r="B1974" s="1" t="str">
        <f ca="1">IFERROR(__xludf.DUMFUNCTION("GOOGLETRANSLATE(A2036,""id"",""en"")"),"Please download , sis, sorry")</f>
        <v>Please download , sis, sorry</v>
      </c>
    </row>
    <row r="1975" spans="1:2" x14ac:dyDescent="0.2">
      <c r="A1975" s="1" t="s">
        <v>3964</v>
      </c>
      <c r="B1975" s="1" t="str">
        <f ca="1">IFERROR(__xludf.DUMFUNCTION("GOOGLETRANSLATE(A2037,""id"",""en"")"),"according to what I thought it was keen to find money via application until business with people protected  basic jabat lazy not creative kaleee klean")</f>
        <v>according to what I thought it was keen to find money via application until business with people protected  basic jabat lazy not creative kaleee klean</v>
      </c>
    </row>
    <row r="1976" spans="1:2" x14ac:dyDescent="0.2">
      <c r="A1976" s="1" t="s">
        <v>3965</v>
      </c>
      <c r="B1976" s="1" t="str">
        <f ca="1">IFERROR(__xludf.DUMFUNCTION("GOOGLETRANSLATE(A2038,""id"",""en"")"),"Furvited  rating")</f>
        <v>Furvited  rating</v>
      </c>
    </row>
    <row r="1977" spans="1:2" x14ac:dyDescent="0.2">
      <c r="A1977" s="1" t="s">
        <v>3966</v>
      </c>
      <c r="B1977" s="1" t="str">
        <f ca="1">IFERROR(__xludf.DUMFUNCTION("GOOGLETRANSLATE(A2039,""id"",""en"")"),"buy subsidized fuel using  rudi hartono difficult people")</f>
        <v>buy subsidized fuel using  rudi hartono difficult people</v>
      </c>
    </row>
    <row r="1978" spans="1:2" x14ac:dyDescent="0.2">
      <c r="A1978" s="1" t="s">
        <v>3967</v>
      </c>
      <c r="B1978" s="1" t="str">
        <f ca="1">IFERROR(__xludf.DUMFUNCTION("GOOGLETRANSLATE(A2040,""id"",""en"")")," Patra Niaga Testing Pertalite Solar Trial to List  Website")</f>
        <v xml:space="preserve"> Patra Niaga Testing Pertalite Solar Trial to List  Website</v>
      </c>
    </row>
    <row r="1979" spans="1:2" x14ac:dyDescent="0.2">
      <c r="A1979" s="1" t="s">
        <v>3968</v>
      </c>
      <c r="B1979" s="1" t="str">
        <f ca="1">IFERROR(__xludf.DUMFUNCTION("GOOGLETRANSLATE(A2041,""id"",""en"")")," Modded Arm Apk")</f>
        <v xml:space="preserve"> Modded Arm Apk</v>
      </c>
    </row>
    <row r="1980" spans="1:2" x14ac:dyDescent="0.2">
      <c r="A1980" s="1" t="s">
        <v>3969</v>
      </c>
      <c r="B1980" s="1" t="str">
        <f ca="1">IFERROR(__xludf.DUMFUNCTION("GOOGLETRANSLATE(A2042,""id"",""en"")"),"Salur LPG Kg Using Dtks Data List  Suggestions Amat Entryurl")</f>
        <v>Salur LPG Kg Using Dtks Data List  Suggestions Amat Entryurl</v>
      </c>
    </row>
    <row r="1981" spans="1:2" x14ac:dyDescent="0.2">
      <c r="A1981" s="1" t="s">
        <v>3970</v>
      </c>
      <c r="B1981" s="1" t="str">
        <f ca="1">IFERROR(__xludf.DUMFUNCTION("GOOGLETRANSLATE(A2043,""id"",""en"")"),"love the stars with  apk  otw moved shell to use the application so that I see the people to bother the people's criticism in criticism in criticism in criticism")</f>
        <v>love the stars with  apk  otw moved shell to use the application so that I see the people to bother the people's criticism in criticism in criticism in criticism</v>
      </c>
    </row>
    <row r="1982" spans="1:2" x14ac:dyDescent="0.2">
      <c r="A1982" s="1" t="s">
        <v>3971</v>
      </c>
      <c r="B1982" s="1" t="str">
        <f ca="1">IFERROR(__xludf.DUMFUNCTION("GOOGLETRANSLATE(A2044,""id"",""en"")"),"province tomorrow list for the  application")</f>
        <v>province tomorrow list for the  application</v>
      </c>
    </row>
    <row r="1983" spans="1:2" x14ac:dyDescent="0.2">
      <c r="A1983" s="1" t="s">
        <v>3972</v>
      </c>
      <c r="B1983" s="1" t="str">
        <f ca="1">IFERROR(__xludf.DUMFUNCTION("GOOGLETRANSLATE(A2045,""id"",""en"")"),"upheld skill just download  clay the location is easy de friendswithdex fwd de durableengee dieselhematberthenema")</f>
        <v>upheld skill just download  clay the location is easy de friendswithdex fwd de durableengee dieselhematberthenema</v>
      </c>
    </row>
    <row r="1984" spans="1:2" x14ac:dyDescent="0.2">
      <c r="A1984" s="1" t="s">
        <v>3973</v>
      </c>
      <c r="B1984" s="1" t="str">
        <f ca="1">IFERROR(__xludf.DUMFUNCTION("GOOGLETRANSLATE(A2046,""id"",""en"")")," on July List  Uttuk Kendara Ruda Atas")</f>
        <v xml:space="preserve"> on July List  Uttuk Kendara Ruda Atas</v>
      </c>
    </row>
    <row r="1985" spans="1:2" x14ac:dyDescent="0.2">
      <c r="A1985" s="1" t="s">
        <v>3974</v>
      </c>
      <c r="B1985" s="1" t="str">
        <f ca="1">IFERROR(__xludf.DUMFUNCTION("GOOGLETRANSLATE(A2047,""id"",""en"")"),"general buying LPG using ")</f>
        <v xml:space="preserve">general buying LPG using </v>
      </c>
    </row>
    <row r="1986" spans="1:2" x14ac:dyDescent="0.2">
      <c r="A1986" s="1" t="s">
        <v>3975</v>
      </c>
      <c r="B1986" s="1" t="str">
        <f ca="1">IFERROR(__xludf.DUMFUNCTION("GOOGLETRANSLATE(A2048,""id"",""en"")"),"see buying pertalite  idcorner")</f>
        <v>see buying pertalite  idcorner</v>
      </c>
    </row>
    <row r="1987" spans="1:2" x14ac:dyDescent="0.2">
      <c r="A1987" s="1" t="s">
        <v>3945</v>
      </c>
      <c r="B1987" s="1" t="str">
        <f ca="1">IFERROR(__xludf.DUMFUNCTION("GOOGLETRANSLATE(A2049,""id"",""en"")"),"Pertalite Solar Buy  LPG Gas")</f>
        <v>Pertalite Solar Buy  LPG Gas</v>
      </c>
    </row>
    <row r="1988" spans="1:2" x14ac:dyDescent="0.2">
      <c r="A1988" s="1" t="s">
        <v>3976</v>
      </c>
      <c r="B1988" s="1" t="str">
        <f ca="1">IFERROR(__xludf.DUMFUNCTION("GOOGLETRANSLATE(A2050,""id"",""en"")"),"Buy BBM  DIGITALIZIN SYSTEM Anticipate BUY BUY BBM")</f>
        <v>Buy BBM  DIGITALIZIN SYSTEM Anticipate BUY BUY BBM</v>
      </c>
    </row>
    <row r="1989" spans="1:2" x14ac:dyDescent="0.2">
      <c r="A1989" s="1" t="s">
        <v>3892</v>
      </c>
      <c r="B1989" s="1" t="str">
        <f ca="1">IFERROR(__xludf.DUMFUNCTION("GOOGLETRANSLATE(A2051,""id"",""en"")"),"July PT  Mandatory Community  Application Buy Pertalite Solar SUBSIDI SAFE OPEN HP SPBU SIMAK Answer")</f>
        <v>July PT  Mandatory Community  Application Buy Pertalite Solar SUBSIDI SAFE OPEN HP SPBU SIMAK Answer</v>
      </c>
    </row>
    <row r="1990" spans="1:2" x14ac:dyDescent="0.2">
      <c r="A1990" s="1" t="s">
        <v>3977</v>
      </c>
      <c r="B1990" s="1" t="str">
        <f ca="1">IFERROR(__xludf.DUMFUNCTION("GOOGLETRANSLATE(A2052,""id"",""en"")"),"Buy subsidized fuel using  kemal palevi patch gas stations BBMSUBSIDI Kemalpalevi ")</f>
        <v xml:space="preserve">Buy subsidized fuel using  kemal palevi patch gas stations BBMSUBSIDI Kemalpalevi </v>
      </c>
    </row>
    <row r="1991" spans="1:2" x14ac:dyDescent="0.2">
      <c r="A1991" s="1" t="s">
        <v>3978</v>
      </c>
      <c r="B1991" s="1" t="str">
        <f ca="1">IFERROR(__xludf.DUMFUNCTION("GOOGLETRANSLATE(A2053,""id"",""en"")"),"buy fuel must use  prohibit playing hp gas station")</f>
        <v>buy fuel must use  prohibit playing hp gas station</v>
      </c>
    </row>
    <row r="1992" spans="1:2" x14ac:dyDescent="0.2">
      <c r="A1992" s="1" t="s">
        <v>3979</v>
      </c>
      <c r="B1992" s="1" t="str">
        <f ca="1">IFERROR(__xludf.DUMFUNCTION("GOOGLETRANSLATE(A2054,""id"",""en"")"),"Hello, I have the contents of bio data  like disturbing help")</f>
        <v>Hello, I have the contents of bio data  like disturbing help</v>
      </c>
    </row>
    <row r="1993" spans="1:2" x14ac:dyDescent="0.2">
      <c r="A1993" s="1" t="s">
        <v>3980</v>
      </c>
      <c r="B1993" s="1" t="str">
        <f ca="1">IFERROR(__xludf.DUMFUNCTION("GOOGLETRANSLATE(A2055,""id"",""en"")"),"July  is obliged to use the city subsidized fuel  application")</f>
        <v>July  is obliged to use the city subsidized fuel  application</v>
      </c>
    </row>
    <row r="1994" spans="1:2" x14ac:dyDescent="0.2">
      <c r="A1994" s="1" t="s">
        <v>3981</v>
      </c>
      <c r="B1994" s="1" t="str">
        <f ca="1">IFERROR(__xludf.DUMFUNCTION("GOOGLETRANSLATE(A2056,""id"",""en"")"),"plot twist, the mandatory grocery trading is  application")</f>
        <v>plot twist, the mandatory grocery trading is  application</v>
      </c>
    </row>
    <row r="1995" spans="1:2" x14ac:dyDescent="0.2">
      <c r="A1995" s="1" t="s">
        <v>3982</v>
      </c>
      <c r="B1995" s="1" t="str">
        <f ca="1">IFERROR(__xludf.DUMFUNCTION("GOOGLETRANSLATE(A2057,""id"",""en"")"),"not open   spklu")</f>
        <v>not open   spklu</v>
      </c>
    </row>
    <row r="1996" spans="1:2" x14ac:dyDescent="0.2">
      <c r="A1996" s="1" t="s">
        <v>3983</v>
      </c>
      <c r="B1996" s="1" t="str">
        <f ca="1">IFERROR(__xludf.DUMFUNCTION("GOOGLETRANSLATE(A2058,""id"",""en"")"),"Monitor the  PlayStore application in the rating of netijen neutijen altitude stuck ideas")</f>
        <v>Monitor the  PlayStore application in the rating of netijen neutijen altitude stuck ideas</v>
      </c>
    </row>
    <row r="1997" spans="1:2" x14ac:dyDescent="0.2">
      <c r="A1997" s="1" t="s">
        <v>3984</v>
      </c>
      <c r="B1997" s="1" t="str">
        <f ca="1">IFERROR(__xludf.DUMFUNCTION("GOOGLETRANSLATE(A2059,""id"",""en"")")," Mate Meeting Present Chat Features")</f>
        <v xml:space="preserve"> Mate Meeting Present Chat Features</v>
      </c>
    </row>
    <row r="1998" spans="1:2" x14ac:dyDescent="0.2">
      <c r="A1998" s="1" t="s">
        <v>3985</v>
      </c>
      <c r="B1998" s="1" t="str">
        <f ca="1">IFERROR(__xludf.DUMFUNCTION("GOOGLETRANSLATE(A2060,""id"",""en"")"),"The people are told to choose the  System Pay Linkaja Pertalite application, buy Cash Pertamax Pay Linkaja Orders for the Sip Store application")</f>
        <v>The people are told to choose the  System Pay Linkaja Pertalite application, buy Cash Pertamax Pay Linkaja Orders for the Sip Store application</v>
      </c>
    </row>
    <row r="1999" spans="1:2" x14ac:dyDescent="0.2">
      <c r="A1999" s="1" t="s">
        <v>3986</v>
      </c>
      <c r="B1999" s="1" t="str">
        <f ca="1">IFERROR(__xludf.DUMFUNCTION("GOOGLETRANSLATE(A2061,""id"",""en"")"),"the city phase of the regency, the provincial regency, test the trial of buying a Solar System ")</f>
        <v xml:space="preserve">the city phase of the regency, the provincial regency, test the trial of buying a Solar System </v>
      </c>
    </row>
    <row r="2000" spans="1:2" x14ac:dyDescent="0.2">
      <c r="A2000" s="1" t="s">
        <v>3987</v>
      </c>
      <c r="B2000" s="1" t="str">
        <f ca="1">IFERROR(__xludf.DUMFUNCTION("GOOGLETRANSLATE(A2062,""id"",""en"")"),"Endonesia was hit by prank downloaded  huahahahahah already noisy Sunday saying using a BUMN website can just make a project directly, of course CC does not go to the data of the data syampah")</f>
        <v>Endonesia was hit by prank downloaded  huahahahahah already noisy Sunday saying using a BUMN website can just make a project directly, of course CC does not go to the data of the data syampah</v>
      </c>
    </row>
    <row r="2001" spans="1:2" x14ac:dyDescent="0.2">
      <c r="A2001" s="1" t="s">
        <v>3988</v>
      </c>
      <c r="B2001" s="1" t="str">
        <f ca="1">IFERROR(__xludf.DUMFUNCTION("GOOGLETRANSLATE(A2063,""id"",""en"")"),"Pertalite Solar people use  to buy gas kg, press subsidies, please gas Kg Kg Low Econo Class Class Thoughts  Indihome")</f>
        <v>Pertalite Solar people use  to buy gas kg, press subsidies, please gas Kg Kg Low Econo Class Class Thoughts  Indihome</v>
      </c>
    </row>
    <row r="2002" spans="1:2" x14ac:dyDescent="0.2">
      <c r="A2002" s="1" t="s">
        <v>115</v>
      </c>
      <c r="B2002" s="1" t="str">
        <f ca="1">IFERROR(__xludf.DUMFUNCTION("GOOGLETRANSLATE(A2064,""id"",""en"")"),"people are worried that the easy stage is to list the confirmation data receive QR Code Road Transaction")</f>
        <v>people are worried that the easy stage is to list the confirmation data receive QR Code Road Transaction</v>
      </c>
    </row>
    <row r="2003" spans="1:2" x14ac:dyDescent="0.2">
      <c r="A2003" s="1" t="s">
        <v>3989</v>
      </c>
      <c r="B2003" s="1" t="str">
        <f ca="1">IFERROR(__xludf.DUMFUNCTION("GOOGLETRANSLATE(A2065,""id"",""en"")"),"Easy to anticipate the field constraints of the  QR Code application")</f>
        <v>Easy to anticipate the field constraints of the  QR Code application</v>
      </c>
    </row>
    <row r="2004" spans="1:2" x14ac:dyDescent="0.2">
      <c r="A2004" s="1" t="s">
        <v>3990</v>
      </c>
      <c r="B2004" s="1" t="str">
        <f ca="1">IFERROR(__xludf.DUMFUNCTION("GOOGLETRANSLATE(A2066,""id"",""en"")"),"just give the value of the  playstore appstore application like the mop")</f>
        <v>just give the value of the  playstore appstore application like the mop</v>
      </c>
    </row>
    <row r="2005" spans="1:2" x14ac:dyDescent="0.2">
      <c r="A2005" s="1" t="s">
        <v>3991</v>
      </c>
      <c r="B2005" s="1" t="str">
        <f ca="1">IFERROR(__xludf.DUMFUNCTION("GOOGLETRANSLATE(A2067,""id"",""en"")"),"Organda Jabar Orgments Set Mandatory for the  Application to Buy Pertalite Solar Transportation")</f>
        <v>Organda Jabar Orgments Set Mandatory for the  Application to Buy Pertalite Solar Transportation</v>
      </c>
    </row>
    <row r="2006" spans="1:2" x14ac:dyDescent="0.2">
      <c r="A2006" s="1" t="s">
        <v>3992</v>
      </c>
      <c r="B2006" s="1" t="str">
        <f ca="1">IFERROR(__xludf.DUMFUNCTION("GOOGLETRANSLATE(A2068,""id"",""en"")"),"Buy it, I don't use the Pamina   Barcode application, the  APP MENU SUBSIDY Menu")</f>
        <v>Buy it, I don't use the Pamina   Barcode application, the  APP MENU SUBSIDY Menu</v>
      </c>
    </row>
    <row r="2007" spans="1:2" x14ac:dyDescent="0.2">
      <c r="A2007" s="1" t="s">
        <v>3993</v>
      </c>
      <c r="B2007" s="1" t="str">
        <f ca="1">IFERROR(__xludf.DUMFUNCTION("GOOGLETRANSLATE(A2069,""id"",""en"")"),"Salur Pertalite Solar Layan Digital  Test Moga Way smoothly")</f>
        <v>Salur Pertalite Solar Layan Digital  Test Moga Way smoothly</v>
      </c>
    </row>
    <row r="2008" spans="1:2" x14ac:dyDescent="0.2">
      <c r="A2008" s="1" t="s">
        <v>3994</v>
      </c>
      <c r="B2008" s="1" t="str">
        <f ca="1">IFERROR(__xludf.DUMFUNCTION("GOOGLETRANSLATE(A2070,""id"",""en"")")," Laku  Buy LPG Kg Money")</f>
        <v xml:space="preserve"> Laku  Buy LPG Kg Money</v>
      </c>
    </row>
    <row r="2009" spans="1:2" x14ac:dyDescent="0.2">
      <c r="A2009" s="1" t="s">
        <v>116</v>
      </c>
      <c r="B2009" s="1" t="str">
        <f ca="1">IFERROR(__xludf.DUMFUNCTION("GOOGLETRANSLATE(A2071,""id"",""en"")"),"Community Access Website Ready Document Needs KTP STNK Kendara Kendara Kendara Mail Address Support Document")</f>
        <v>Community Access Website Ready Document Needs KTP STNK Kendara Kendara Kendara Mail Address Support Document</v>
      </c>
    </row>
    <row r="2010" spans="1:2" x14ac:dyDescent="0.2">
      <c r="A2010" s="1" t="s">
        <v>3995</v>
      </c>
      <c r="B2010" s="1" t="str">
        <f ca="1">IFERROR(__xludf.DUMFUNCTION("GOOGLETRANSLATE(A2072,""id"",""en"")"),"if you buy pertalite, just register h account")</f>
        <v>if you buy pertalite, just register h account</v>
      </c>
    </row>
    <row r="2011" spans="1:2" x14ac:dyDescent="0.2">
      <c r="A2011" s="1" t="s">
        <v>3996</v>
      </c>
      <c r="B2011" s="1" t="str">
        <f ca="1">IFERROR(__xludf.DUMFUNCTION("GOOGLETRANSLATE(A2073,""id"",""en"")")," President Director Patra Niaga Initiative innovation in the trial of the Solar Pertalite Salur for the right to register the  System in July")</f>
        <v xml:space="preserve"> President Director Patra Niaga Initiative innovation in the trial of the Solar Pertalite Salur for the right to register the  System in July</v>
      </c>
    </row>
    <row r="2012" spans="1:2" x14ac:dyDescent="0.2">
      <c r="A2012" s="1" t="s">
        <v>3997</v>
      </c>
      <c r="B2012" s="1" t="str">
        <f ca="1">IFERROR(__xludf.DUMFUNCTION("GOOGLETRANSLATE(A2074,""id"",""en"")"),"the results of the poll of citizens aiming for wisely to buy Pertalite amp Solar Mandatory List of  Elshintanews")</f>
        <v>the results of the poll of citizens aiming for wisely to buy Pertalite amp Solar Mandatory List of  Elshintanews</v>
      </c>
    </row>
    <row r="2013" spans="1:2" x14ac:dyDescent="0.2">
      <c r="A2013" s="1" t="s">
        <v>3998</v>
      </c>
      <c r="B2013" s="1" t="str">
        <f ca="1">IFERROR(__xludf.DUMFUNCTION("GOOGLETRANSLATE(A2075,""id"",""en"")"),"an example of a member of the DPR members Enjoying an angry subsidized shouting the name of  folklore so that you know the rich people who like the delicious subsidies that people don't")</f>
        <v>an example of a member of the DPR members Enjoying an angry subsidized shouting the name of  folklore so that you know the rich people who like the delicious subsidies that people don't</v>
      </c>
    </row>
    <row r="2014" spans="1:2" x14ac:dyDescent="0.2">
      <c r="A2014" s="1" t="s">
        <v>3999</v>
      </c>
      <c r="B2014" s="1" t="str">
        <f ca="1">IFERROR(__xludf.DUMFUNCTION("GOOGLETRANSLATE(A2076,""id"",""en"")"),"PT  Persero Application ")</f>
        <v xml:space="preserve">PT  Persero Application </v>
      </c>
    </row>
    <row r="2015" spans="1:2" x14ac:dyDescent="0.2">
      <c r="A2015" s="1" t="s">
        <v>113</v>
      </c>
      <c r="B2015" s="1" t="str">
        <f ca="1">IFERROR(__xludf.DUMFUNCTION("GOOGLETRANSLATE(A2077,""id"",""en"")"),"Initiative note by valid data on the Sasar Subsidy BBM")</f>
        <v>Initiative note by valid data on the Sasar Subsidy BBM</v>
      </c>
    </row>
    <row r="2016" spans="1:2" x14ac:dyDescent="0.2">
      <c r="A2016" s="1" t="s">
        <v>2544</v>
      </c>
      <c r="B2016" s="1" t="str">
        <f ca="1">IFERROR(__xludf.DUMFUNCTION("GOOGLETRANSLATE(A2079,""id"",""en"")"),"PT  Patra Niaga Opens the Identity of the  Website Identity July List for QR Code Buying BBM Subsidies  SPBU")</f>
        <v>PT  Patra Niaga Opens the Identity of the  Website Identity July List for QR Code Buying BBM Subsidies  SPBU</v>
      </c>
    </row>
    <row r="2017" spans="1:2" x14ac:dyDescent="0.2">
      <c r="A2017" s="1" t="s">
        <v>50</v>
      </c>
      <c r="B2017" s="1" t="str">
        <f ca="1">IFERROR(__xludf.DUMFUNCTION("GOOGLETRANSLATE(A2080,""id"",""en"")"),"The legislator is silent the mute people of the people of the people who are independent of the people")</f>
        <v>The legislator is silent the mute people of the people of the people who are independent of the people</v>
      </c>
    </row>
    <row r="2018" spans="1:2" x14ac:dyDescent="0.2">
      <c r="A2018" s="1" t="s">
        <v>4000</v>
      </c>
      <c r="B2018" s="1" t="str">
        <f ca="1">IFERROR(__xludf.DUMFUNCTION("GOOGLETRANSLATE(A2081,""id"",""en"")"),"BBM Buy LPG Kg Gas Using  Clearly")</f>
        <v>BBM Buy LPG Kg Gas Using  Clearly</v>
      </c>
    </row>
    <row r="2019" spans="1:2" x14ac:dyDescent="0.2">
      <c r="A2019" s="1" t="s">
        <v>4001</v>
      </c>
      <c r="B2019" s="1" t="str">
        <f ca="1">IFERROR(__xludf.DUMFUNCTION("GOOGLETRANSLATE(A2082,""id"",""en"")")," Application Redaman Hazard Hp SPBU TTD Mr. Koplax")</f>
        <v xml:space="preserve"> Application Redaman Hazard Hp SPBU TTD Mr. Koplax</v>
      </c>
    </row>
    <row r="2020" spans="1:2" x14ac:dyDescent="0.2">
      <c r="A2020" s="1" t="s">
        <v>4002</v>
      </c>
      <c r="B2020" s="1" t="str">
        <f ca="1">IFERROR(__xludf.DUMFUNCTION("GOOGLETRANSLATE(A2084,""id"",""en"")"),"Spread the money is shocked, nimbly the Popo Instagram  brush")</f>
        <v>Spread the money is shocked, nimbly the Popo Instagram  brush</v>
      </c>
    </row>
    <row r="2021" spans="1:2" x14ac:dyDescent="0.2">
      <c r="A2021" s="1" t="s">
        <v>4003</v>
      </c>
      <c r="B2021" s="1" t="str">
        <f ca="1">IFERROR(__xludf.DUMFUNCTION("GOOGLETRANSLATE(A2085,""id"",""en"")"),"List of links to connect ")</f>
        <v xml:space="preserve">List of links to connect </v>
      </c>
    </row>
    <row r="2022" spans="1:2" x14ac:dyDescent="0.2">
      <c r="A2022" s="1" t="s">
        <v>117</v>
      </c>
      <c r="B2022" s="1" t="str">
        <f ca="1">IFERROR(__xludf.DUMFUNCTION("GOOGLETRANSLATE(A2086,""id"",""en"")"),"Open the website Check Information Understanding Terms Click List follow the Instructions Wait Suitable Data Work Maximum Email Address that Check the Status List of the Website List Kala")</f>
        <v>Open the website Check Information Understanding Terms Click List follow the Instructions Wait Suitable Data Work Maximum Email Address that Check the Status List of the Website List Kala</v>
      </c>
    </row>
    <row r="2023" spans="1:2" x14ac:dyDescent="0.2">
      <c r="A2023" s="1" t="s">
        <v>4004</v>
      </c>
      <c r="B2023" s="1" t="str">
        <f ca="1">IFERROR(__xludf.DUMFUNCTION("GOOGLETRANSLATE(A2087,""id"",""en"")"),"Eh Caucasians Holidays Bal If Fill in Pertalite Install ")</f>
        <v xml:space="preserve">Eh Caucasians Holidays Bal If Fill in Pertalite Install </v>
      </c>
    </row>
    <row r="2024" spans="1:2" x14ac:dyDescent="0.2">
      <c r="A2024" s="1" t="s">
        <v>4005</v>
      </c>
      <c r="B2024" s="1" t="str">
        <f ca="1">IFERROR(__xludf.DUMFUNCTION("GOOGLETRANSLATE(A2088,""id"",""en"")"),"the area of ​​buying solar pertalite using  motorcycle list applications")</f>
        <v>the area of ​​buying solar pertalite using  motorcycle list applications</v>
      </c>
    </row>
    <row r="2025" spans="1:2" x14ac:dyDescent="0.2">
      <c r="A2025" s="1" t="s">
        <v>4006</v>
      </c>
      <c r="B2025" s="1" t="str">
        <f ca="1">IFERROR(__xludf.DUMFUNCTION("GOOGLETRANSLATE(A2089,""id"",""en"")"),"buzzerp noisy country Install  apps good stars so that stars")</f>
        <v>buzzerp noisy country Install  apps good stars so that stars</v>
      </c>
    </row>
    <row r="2026" spans="1:2" x14ac:dyDescent="0.2">
      <c r="A2026" s="1" t="s">
        <v>4007</v>
      </c>
      <c r="B2026" s="1" t="str">
        <f ca="1">IFERROR(__xludf.DUMFUNCTION("GOOGLETRANSLATE(A2090,""id"",""en"")"),"eh btw pke  buy Pertalite Pertamax Gausa")</f>
        <v>eh btw pke  buy Pertalite Pertamax Gausa</v>
      </c>
    </row>
    <row r="2027" spans="1:2" x14ac:dyDescent="0.2">
      <c r="A2027" s="1" t="s">
        <v>4008</v>
      </c>
      <c r="B2027" s="1" t="str">
        <f ca="1">IFERROR(__xludf.DUMFUNCTION("GOOGLETRANSLATE(A2091,""id"",""en"")"),"Member of the House of Representatives Commission VI RI Faction Nasdem Brother Rudi Hartono Bangun Wisely Buy BBM Type of Pertalite Solar Subsidies List of  Website Difficult Community Nasdempeduli Smartphone Community")</f>
        <v>Member of the House of Representatives Commission VI RI Faction Nasdem Brother Rudi Hartono Bangun Wisely Buy BBM Type of Pertalite Solar Subsidies List of  Website Difficult Community Nasdempeduli Smartphone Community</v>
      </c>
    </row>
    <row r="2028" spans="1:2" x14ac:dyDescent="0.2">
      <c r="A2028" s="1" t="s">
        <v>4009</v>
      </c>
      <c r="B2028" s="1" t="str">
        <f ca="1">IFERROR(__xludf.DUMFUNCTION("GOOGLETRANSLATE(A2092,""id"",""en"")"),"Buy LPG Kg Must Register ")</f>
        <v xml:space="preserve">Buy LPG Kg Must Register </v>
      </c>
    </row>
    <row r="2029" spans="1:2" x14ac:dyDescent="0.2">
      <c r="A2029" s="1" t="s">
        <v>4010</v>
      </c>
      <c r="B2029" s="1" t="str">
        <f ca="1">IFERROR(__xludf.DUMFUNCTION("GOOGLETRANSLATE(A2093,""id"",""en"")"),"List of  websites")</f>
        <v>List of  websites</v>
      </c>
    </row>
    <row r="2030" spans="1:2" x14ac:dyDescent="0.2">
      <c r="A2030" s="1" t="s">
        <v>4011</v>
      </c>
      <c r="B2030" s="1" t="str">
        <f ca="1">IFERROR(__xludf.DUMFUNCTION("GOOGLETRANSLATE(A2094,""id"",""en"")")," Application tastes complicated via")</f>
        <v xml:space="preserve"> Application tastes complicated via</v>
      </c>
    </row>
    <row r="2031" spans="1:2" x14ac:dyDescent="0.2">
      <c r="A2031" s="1" t="s">
        <v>4012</v>
      </c>
      <c r="B2031" s="1" t="str">
        <f ca="1">IFERROR(__xludf.DUMFUNCTION("GOOGLETRANSLATE(A2095,""id"",""en"")"),"wisely out of  application is difficult to watch out for the distribution of 's subsidized oil, the salary of the public is complicated")</f>
        <v>wisely out of  application is difficult to watch out for the distribution of 's subsidized oil, the salary of the public is complicated</v>
      </c>
    </row>
    <row r="2032" spans="1:2" x14ac:dyDescent="0.2">
      <c r="A2032" s="1" t="s">
        <v>4013</v>
      </c>
      <c r="B2032" s="1" t="str">
        <f ca="1">IFERROR(__xludf.DUMFUNCTION("GOOGLETRANSLATE(A2096,""id"",""en"")"),"owned by Kendara Motor Roda List of the  System Buying Fuel Subsidies Pertalite Solar SPBU ")</f>
        <v xml:space="preserve">owned by Kendara Motor Roda List of the  System Buying Fuel Subsidies Pertalite Solar SPBU </v>
      </c>
    </row>
    <row r="2033" spans="1:2" x14ac:dyDescent="0.2">
      <c r="A2033" s="1" t="s">
        <v>4014</v>
      </c>
      <c r="B2033" s="1" t="str">
        <f ca="1">IFERROR(__xludf.DUMFUNCTION("GOOGLETRANSLATE(A2097,""id"",""en"")"),"Buy Pertalite Amp Solar Must List  Applications Just Move Shell So Little")</f>
        <v>Buy Pertalite Amp Solar Must List  Applications Just Move Shell So Little</v>
      </c>
    </row>
    <row r="2034" spans="1:2" x14ac:dyDescent="0.2">
      <c r="A2034" s="1" t="s">
        <v>4015</v>
      </c>
      <c r="B2034" s="1" t="str">
        <f ca="1">IFERROR(__xludf.DUMFUNCTION("GOOGLETRANSLATE(A2098,""id"",""en"")"),"what ak rack understands nganggo  complicated asw ndudul just install the link")</f>
        <v>what ak rack understands nganggo  complicated asw ndudul just install the link</v>
      </c>
    </row>
    <row r="2035" spans="1:2" x14ac:dyDescent="0.2">
      <c r="A2035" s="1" t="s">
        <v>4016</v>
      </c>
      <c r="B2035" s="1" t="str">
        <f ca="1">IFERROR(__xludf.DUMFUNCTION("GOOGLETRANSLATE(A2099,""id"",""en"")"),"buy fuel subsidies  led Commission VII Solution")</f>
        <v>buy fuel subsidies  led Commission VII Solution</v>
      </c>
    </row>
    <row r="2036" spans="1:2" x14ac:dyDescent="0.2">
      <c r="A2036" s="1" t="s">
        <v>4017</v>
      </c>
      <c r="B2036" s="1" t="str">
        <f ca="1">IFERROR(__xludf.DUMFUNCTION("GOOGLETRANSLATE(A2100,""id"",""en"")"),"CLOSE FEW YEARS LATER APPS APPS Needs to Casually Using Gopay But Now Have To Activating Linkaja for the Payment at  Okay Maybe It Probs About BUMN and Not BUMN But You Know  Point")</f>
        <v>CLOSE FEW YEARS LATER APPS APPS Needs to Casually Using Gopay But Now Have To Activating Linkaja for the Payment at  Okay Maybe It Probs About BUMN and Not BUMN But You Know  Point</v>
      </c>
    </row>
    <row r="2037" spans="1:2" x14ac:dyDescent="0.2">
      <c r="A2037" s="1" t="s">
        <v>4018</v>
      </c>
      <c r="B2037" s="1" t="str">
        <f ca="1">IFERROR(__xludf.DUMFUNCTION("GOOGLETRANSLATE(A2101,""id"",""en"")"),"orders really work to bother the people, you understand using  app, just don't understand, sometimes you don't understand")</f>
        <v>orders really work to bother the people, you understand using  app, just don't understand, sometimes you don't understand</v>
      </c>
    </row>
    <row r="2038" spans="1:2" x14ac:dyDescent="0.2">
      <c r="A2038" s="1" t="s">
        <v>4019</v>
      </c>
      <c r="B2038" s="1" t="str">
        <f ca="1">IFERROR(__xludf.DUMFUNCTION("GOOGLETRANSLATE(A2102,""id"",""en"")")," Test Pertalite Solar Trial for the List of  Website")</f>
        <v xml:space="preserve"> Test Pertalite Solar Trial for the List of  Website</v>
      </c>
    </row>
    <row r="2039" spans="1:2" x14ac:dyDescent="0.2">
      <c r="A2039" s="1" t="s">
        <v>4020</v>
      </c>
      <c r="B2039" s="1" t="str">
        <f ca="1">IFERROR(__xludf.DUMFUNCTION("GOOGLETRANSLATE(A2103,""id"",""en"")"),"App  Moga Use Bbm Subsidized Awas")</f>
        <v>App  Moga Use Bbm Subsidized Awas</v>
      </c>
    </row>
    <row r="2040" spans="1:2" x14ac:dyDescent="0.2">
      <c r="A2040" s="1" t="s">
        <v>3907</v>
      </c>
      <c r="B2040" s="1" t="str">
        <f ca="1">IFERROR(__xludf.DUMFUNCTION("GOOGLETRANSLATE(A2104,""id"",""en"")"),"Economist The value of 's efforts to buy LPG Kg  forced")</f>
        <v>Economist The value of 's efforts to buy LPG Kg  forced</v>
      </c>
    </row>
    <row r="2041" spans="1:2" x14ac:dyDescent="0.2">
      <c r="A2041" s="1" t="s">
        <v>4021</v>
      </c>
      <c r="B2041" s="1" t="str">
        <f ca="1">IFERROR(__xludf.DUMFUNCTION("GOOGLETRANSLATE(A2105,""id"",""en"")"),"July PT  is applied to buy a solar pertalite using  to sell and buy a solar pertalite using  motorbike")</f>
        <v>July PT  is applied to buy a solar pertalite using  to sell and buy a solar pertalite using  motorbike</v>
      </c>
    </row>
    <row r="2042" spans="1:2" x14ac:dyDescent="0.2">
      <c r="A2042" s="1" t="s">
        <v>4022</v>
      </c>
      <c r="B2042" s="1" t="str">
        <f ca="1">IFERROR(__xludf.DUMFUNCTION("GOOGLETRANSLATE(A2106,""id"",""en"")")," app")</f>
        <v xml:space="preserve"> app</v>
      </c>
    </row>
    <row r="2043" spans="1:2" x14ac:dyDescent="0.2">
      <c r="A2043" s="1" t="s">
        <v>4023</v>
      </c>
      <c r="B2043" s="1" t="str">
        <f ca="1">IFERROR(__xludf.DUMFUNCTION("GOOGLETRANSLATE(A2107,""id"",""en"")"),"Meuli Gasoline Kudu Makes  Application Meuli Sembako Kudu Make Application of Pedulilat Protect Tutorial")</f>
        <v>Meuli Gasoline Kudu Makes  Application Meuli Sembako Kudu Make Application of Pedulilat Protect Tutorial</v>
      </c>
    </row>
    <row r="2044" spans="1:2" x14ac:dyDescent="0.2">
      <c r="A2044" s="1" t="s">
        <v>4024</v>
      </c>
      <c r="B2044" s="1" t="str">
        <f ca="1">IFERROR(__xludf.DUMFUNCTION("GOOGLETRANSLATE(A2108,""id"",""en"")"),"Sasar Sasar July  Open List of  Website")</f>
        <v>Sasar Sasar July  Open List of  Website</v>
      </c>
    </row>
    <row r="2045" spans="1:2" x14ac:dyDescent="0.2">
      <c r="A2045" s="1" t="s">
        <v>4025</v>
      </c>
      <c r="B2045" s="1" t="str">
        <f ca="1">IFERROR(__xludf.DUMFUNCTION("GOOGLETRANSLATE(A2109,""id"",""en"")"),"Monitor the  PlayStore application in the Netijen Rating Stuck Ideas Oh Let's Netijen Indonesia Supports Mod Apk  Unlimited Money Gasak and not bear")</f>
        <v>Monitor the  PlayStore application in the Netijen Rating Stuck Ideas Oh Let's Netijen Indonesia Supports Mod Apk  Unlimited Money Gasak and not bear</v>
      </c>
    </row>
    <row r="2046" spans="1:2" x14ac:dyDescent="0.2">
      <c r="A2046" s="1" t="s">
        <v>4026</v>
      </c>
      <c r="B2046" s="1" t="str">
        <f ca="1">IFERROR(__xludf.DUMFUNCTION("GOOGLETRANSLATE(A2110,""id"",""en"")"),"Suffering for Mobile Old School  CONSUMER RADARBANJARMASIN")</f>
        <v>Suffering for Mobile Old School  CONSUMER RADARBANJARMASIN</v>
      </c>
    </row>
    <row r="2047" spans="1:2" x14ac:dyDescent="0.2">
      <c r="A2047" s="1" t="s">
        <v>4027</v>
      </c>
      <c r="B2047" s="1" t="str">
        <f ca="1">IFERROR(__xludf.DUMFUNCTION("GOOGLETRANSLATE(A2111,""id"",""en"")"),"do not understand the important set of langgar thinking, congratulations on the prosperity of  the rules of your department cuan gas station gasoline oil pertalite")</f>
        <v>do not understand the important set of langgar thinking, congratulations on the prosperity of  the rules of your department cuan gas station gasoline oil pertalite</v>
      </c>
    </row>
    <row r="2048" spans="1:2" x14ac:dyDescent="0.2">
      <c r="A2048" s="1" t="s">
        <v>4028</v>
      </c>
      <c r="B2048" s="1" t="str">
        <f ca="1">IFERROR(__xludf.DUMFUNCTION("GOOGLETRANSLATE(A2112,""id"",""en"")"),"I have a list via  apk to enter the number of number of Emal Nopol KTPs, etc.")</f>
        <v>I have a list via  apk to enter the number of number of Emal Nopol KTPs, etc.</v>
      </c>
    </row>
    <row r="2049" spans="1:2" x14ac:dyDescent="0.2">
      <c r="A2049" s="1" t="s">
        <v>3811</v>
      </c>
      <c r="B2049" s="1" t="str">
        <f ca="1">IFERROR(__xludf.DUMFUNCTION("GOOGLETRANSLATE(A2113,""id"",""en"")"),"Forced Uninstall Simontok so that the download room for ")</f>
        <v xml:space="preserve">Forced Uninstall Simontok so that the download room for </v>
      </c>
    </row>
    <row r="2050" spans="1:2" x14ac:dyDescent="0.2">
      <c r="A2050" s="1" t="s">
        <v>4029</v>
      </c>
      <c r="B2050" s="1" t="str">
        <f ca="1">IFERROR(__xludf.DUMFUNCTION("GOOGLETRANSLATE(A2114,""id"",""en"")"),"if you buy first using ")</f>
        <v xml:space="preserve">if you buy first using </v>
      </c>
    </row>
    <row r="2051" spans="1:2" x14ac:dyDescent="0.2">
      <c r="A2051" s="1" t="s">
        <v>4030</v>
      </c>
      <c r="B2051" s="1" t="str">
        <f ca="1">IFERROR(__xludf.DUMFUNCTION("GOOGLETRANSLATE(A2115,""id"",""en"")"),"easy access to  app ready offline booth")</f>
        <v>easy access to  app ready offline booth</v>
      </c>
    </row>
    <row r="2052" spans="1:2" x14ac:dyDescent="0.2">
      <c r="A2052" s="1" t="s">
        <v>4031</v>
      </c>
      <c r="B2052" s="1" t="str">
        <f ca="1">IFERROR(__xludf.DUMFUNCTION("GOOGLETRANSLATE(A2116,""id"",""en"")"),"buy fuel fuel fuel using  applications SAS subsidized fuel")</f>
        <v>buy fuel fuel fuel using  applications SAS subsidized fuel</v>
      </c>
    </row>
    <row r="2053" spans="1:2" x14ac:dyDescent="0.2">
      <c r="A2053" s="1" t="s">
        <v>984</v>
      </c>
      <c r="B2053" s="1" t="str">
        <f ca="1">IFERROR(__xludf.DUMFUNCTION("GOOGLETRANSLATE(A2117,""id"",""en"")")," Patra Niaga Sub Holding Commercial AMP Trading PT  Persero Trial Saying Pertalite")</f>
        <v xml:space="preserve"> Patra Niaga Sub Holding Commercial AMP Trading PT  Persero Trial Saying Pertalite</v>
      </c>
    </row>
    <row r="2054" spans="1:2" x14ac:dyDescent="0.2">
      <c r="A2054" s="1" t="s">
        <v>4032</v>
      </c>
      <c r="B2054" s="1" t="str">
        <f ca="1">IFERROR(__xludf.DUMFUNCTION("GOOGLETRANSLATE(A2118,""id"",""en"")"),"List of Buying BBM Subsidies  Breakingnews Live Streaming GT")</f>
        <v>List of Buying BBM Subsidies  Breakingnews Live Streaming GT</v>
      </c>
    </row>
    <row r="2055" spans="1:2" x14ac:dyDescent="0.2">
      <c r="A2055" s="1" t="s">
        <v>4033</v>
      </c>
      <c r="B2055" s="1" t="str">
        <f ca="1">IFERROR(__xludf.DUMFUNCTION("GOOGLETRANSLATE(A2119,""id"",""en"")"),"List of  Smartphone Applications")</f>
        <v>List of  Smartphone Applications</v>
      </c>
    </row>
    <row r="2056" spans="1:2" x14ac:dyDescent="0.2">
      <c r="A2056" s="1" t="s">
        <v>4034</v>
      </c>
      <c r="B2056" s="1" t="str">
        <f ca="1">IFERROR(__xludf.DUMFUNCTION("GOOGLETRANSLATE(A2120,""id"",""en"")"),"access to the  qr code application receive printing with the physical gas station")</f>
        <v>access to the  qr code application receive printing with the physical gas station</v>
      </c>
    </row>
    <row r="2057" spans="1:2" x14ac:dyDescent="0.2">
      <c r="A2057" s="1" t="s">
        <v>4035</v>
      </c>
      <c r="B2057" s="1" t="str">
        <f ca="1">IFERROR(__xludf.DUMFUNCTION("GOOGLETRANSLATE(A2121,""id"",""en"")")," Application Bombardir Bombard Star Netizen Difficult People")</f>
        <v xml:space="preserve"> Application Bombardir Bombard Star Netizen Difficult People</v>
      </c>
    </row>
    <row r="2058" spans="1:2" x14ac:dyDescent="0.2">
      <c r="A2058" s="1" t="s">
        <v>4036</v>
      </c>
      <c r="B2058" s="1" t="str">
        <f ca="1">IFERROR(__xludf.DUMFUNCTION("GOOGLETRANSLATE(A2122,""id"",""en"")"),"It's not the time not yet notif  but the filling of gasoline using  applications, how about children's application")</f>
        <v>It's not the time not yet notif  but the filling of gasoline using  applications, how about children's application</v>
      </c>
    </row>
    <row r="2059" spans="1:2" x14ac:dyDescent="0.2">
      <c r="A2059" s="1" t="s">
        <v>4037</v>
      </c>
      <c r="B2059" s="1" t="str">
        <f ca="1">IFERROR(__xludf.DUMFUNCTION("GOOGLETRANSLATE(A2123,""id"",""en"")"),"try to tell me to use  tethering wifi  simultaneously exciting times")</f>
        <v>try to tell me to use  tethering wifi  simultaneously exciting times</v>
      </c>
    </row>
    <row r="2060" spans="1:2" x14ac:dyDescent="0.2">
      <c r="A2060" s="1" t="s">
        <v>4038</v>
      </c>
      <c r="B2060" s="1" t="str">
        <f ca="1">IFERROR(__xludf.DUMFUNCTION("GOOGLETRANSLATE(A2124,""id"",""en"")"),"guava crystal non seeds link  gas station jkt flyinghigh kcame russia time for seventeen prayer mission jokowi")</f>
        <v>guava crystal non seeds link  gas station jkt flyinghigh kcame russia time for seventeen prayer mission jokowi</v>
      </c>
    </row>
    <row r="2061" spans="1:2" x14ac:dyDescent="0.2">
      <c r="A2061" s="1" t="s">
        <v>4039</v>
      </c>
      <c r="B2061" s="1" t="str">
        <f ca="1">IFERROR(__xludf.DUMFUNCTION("GOOGLETRANSLATE(A2125,""id"",""en"")"),"Fortunately, the community of MMBembu Bbm  application is practical with")</f>
        <v>Fortunately, the community of MMBembu Bbm  application is practical with</v>
      </c>
    </row>
    <row r="2062" spans="1:2" x14ac:dyDescent="0.2">
      <c r="A2062" s="1" t="s">
        <v>4040</v>
      </c>
      <c r="B2062" s="1" t="str">
        <f ca="1">IFERROR(__xludf.DUMFUNCTION("GOOGLETRANSLATE(A2126,""id"",""en"")")," BBM quota remains enough for the community")</f>
        <v xml:space="preserve"> BBM quota remains enough for the community</v>
      </c>
    </row>
    <row r="2063" spans="1:2" x14ac:dyDescent="0.2">
      <c r="A2063" s="1" t="s">
        <v>4041</v>
      </c>
      <c r="B2063" s="1" t="str">
        <f ca="1">IFERROR(__xludf.DUMFUNCTION("GOOGLETRANSLATE(A2127,""id"",""en"")"),"amp requirements for the list of  buy pertalite gas station")</f>
        <v>amp requirements for the list of  buy pertalite gas station</v>
      </c>
    </row>
    <row r="2064" spans="1:2" x14ac:dyDescent="0.2">
      <c r="A2064" s="1" t="s">
        <v>4042</v>
      </c>
      <c r="B2064" s="1" t="str">
        <f ca="1">IFERROR(__xludf.DUMFUNCTION("GOOGLETRANSLATE(A2128,""id"",""en"")"),"Banjarmasin preparedness for testing for ")</f>
        <v xml:space="preserve">Banjarmasin preparedness for testing for </v>
      </c>
    </row>
    <row r="2065" spans="1:2" x14ac:dyDescent="0.2">
      <c r="A2065" s="1" t="s">
        <v>4042</v>
      </c>
      <c r="B2065" s="1" t="str">
        <f ca="1">IFERROR(__xludf.DUMFUNCTION("GOOGLETRANSLATE(A2129,""id"",""en"")"),"Banjarmasin preparedness for testing for ")</f>
        <v xml:space="preserve">Banjarmasin preparedness for testing for </v>
      </c>
    </row>
    <row r="2066" spans="1:2" x14ac:dyDescent="0.2">
      <c r="A2066" s="1" t="s">
        <v>4043</v>
      </c>
      <c r="B2066" s="1" t="str">
        <f ca="1">IFERROR(__xludf.DUMFUNCTION("GOOGLETRANSLATE(A2130,""id"",""en"")"),"clear  trials for vehicle vehicle vehicles are just the basis of the type of cc raft")</f>
        <v>clear  trials for vehicle vehicle vehicles are just the basis of the type of cc raft</v>
      </c>
    </row>
    <row r="2067" spans="1:2" x14ac:dyDescent="0.2">
      <c r="A2067" s="1" t="s">
        <v>4044</v>
      </c>
      <c r="B2067" s="1" t="str">
        <f ca="1">IFERROR(__xludf.DUMFUNCTION("GOOGLETRANSLATE(A2131,""id"",""en"")"),"wise use of  application to buy Pertalite Solar Sasar")</f>
        <v>wise use of  application to buy Pertalite Solar Sasar</v>
      </c>
    </row>
    <row r="2068" spans="1:2" x14ac:dyDescent="0.2">
      <c r="A2068" s="1" t="s">
        <v>4045</v>
      </c>
      <c r="B2068" s="1" t="str">
        <f ca="1">IFERROR(__xludf.DUMFUNCTION("GOOGLETRANSLATE(A2132,""id"",""en"")"),"Terju Supporting Digital  Services")</f>
        <v>Terju Supporting Digital  Services</v>
      </c>
    </row>
    <row r="2069" spans="1:2" x14ac:dyDescent="0.2">
      <c r="A2069" s="1" t="s">
        <v>4046</v>
      </c>
      <c r="B2069" s="1" t="str">
        <f ca="1">IFERROR(__xludf.DUMFUNCTION("GOOGLETRANSLATE(A2133,""id"",""en"")"),"Definitely aware of aware of helping the transaction of consumer  safe distance")</f>
        <v>Definitely aware of aware of helping the transaction of consumer  safe distance</v>
      </c>
    </row>
    <row r="2070" spans="1:2" x14ac:dyDescent="0.2">
      <c r="A2070" s="1" t="s">
        <v>3921</v>
      </c>
      <c r="B2070" s="1" t="str">
        <f ca="1">IFERROR(__xludf.DUMFUNCTION("GOOGLETRANSLATE(A2134,""id"",""en"")"),"BREAKING NEWS  Implementation of the  BBM Use List")</f>
        <v>BREAKING NEWS  Implementation of the  BBM Use List</v>
      </c>
    </row>
    <row r="2071" spans="1:2" x14ac:dyDescent="0.2">
      <c r="A2071" s="1" t="s">
        <v>118</v>
      </c>
      <c r="B2071" s="1" t="str">
        <f ca="1">IFERROR(__xludf.DUMFUNCTION("GOOGLETRANSLATE(A2135,""id"",""en"")"),"Just think that what is not right full of hate who is forbidden")</f>
        <v>Just think that what is not right full of hate who is forbidden</v>
      </c>
    </row>
    <row r="2072" spans="1:2" x14ac:dyDescent="0.2">
      <c r="A2072" s="1" t="s">
        <v>4047</v>
      </c>
      <c r="B2072" s="1" t="str">
        <f ca="1">IFERROR(__xludf.DUMFUNCTION("GOOGLETRANSLATE(A2136,""id"",""en"")"),"For the  application, we will be aware of the BBM Pertalite Solar Ras.")</f>
        <v>For the  application, we will be aware of the BBM Pertalite Solar Ras.</v>
      </c>
    </row>
    <row r="2073" spans="1:2" x14ac:dyDescent="0.2">
      <c r="A2073" s="1" t="s">
        <v>4048</v>
      </c>
      <c r="B2073" s="1" t="str">
        <f ca="1">IFERROR(__xludf.DUMFUNCTION("GOOGLETRANSLATE(A2137,""id"",""en"")"),"Buy Pertalite Solar Using  Pay Linkaja")</f>
        <v>Buy Pertalite Solar Using  Pay Linkaja</v>
      </c>
    </row>
    <row r="2074" spans="1:2" x14ac:dyDescent="0.2">
      <c r="A2074" s="1" t="s">
        <v>4049</v>
      </c>
      <c r="B2074" s="1" t="str">
        <f ca="1">IFERROR(__xludf.DUMFUNCTION("GOOGLETRANSLATE(A2138,""id"",""en"")"),"Date of July the  application buy subsidized fuel")</f>
        <v>Date of July the  application buy subsidized fuel</v>
      </c>
    </row>
    <row r="2075" spans="1:2" x14ac:dyDescent="0.2">
      <c r="A2075" s="1" t="s">
        <v>119</v>
      </c>
      <c r="B2075" s="1" t="str">
        <f ca="1">IFERROR(__xludf.DUMFUNCTION("GOOGLETRANSLATE(A2139,""id"",""en"")"),"Mimin try to explain, let's see the question")</f>
        <v>Mimin try to explain, let's see the question</v>
      </c>
    </row>
    <row r="2076" spans="1:2" x14ac:dyDescent="0.2">
      <c r="A2076" s="1" t="s">
        <v>4050</v>
      </c>
      <c r="B2076" s="1" t="str">
        <f ca="1">IFERROR(__xludf.DUMFUNCTION("GOOGLETRANSLATE(A2140,""id"",""en"")"),"if the country downloads  against world war three of the Russian invasion")</f>
        <v>if the country downloads  against world war three of the Russian invasion</v>
      </c>
    </row>
    <row r="2077" spans="1:2" x14ac:dyDescent="0.2">
      <c r="A2077" s="1" t="s">
        <v>120</v>
      </c>
      <c r="B2077" s="1" t="str">
        <f ca="1">IFERROR(__xludf.DUMFUNCTION("GOOGLETRANSLATE(A2141,""id"",""en"")"),"friend mimin get a solar subsidy Pertalite Roda comments column")</f>
        <v>friend mimin get a solar subsidy Pertalite Roda comments column</v>
      </c>
    </row>
    <row r="2078" spans="1:2" x14ac:dyDescent="0.2">
      <c r="A2078" s="1" t="s">
        <v>4051</v>
      </c>
      <c r="B2078" s="1" t="str">
        <f ca="1">IFERROR(__xludf.DUMFUNCTION("GOOGLETRANSLATE(A2142,""id"",""en"")")," Application Official Download Install Google Play Store App Store")</f>
        <v xml:space="preserve"> Application Official Download Install Google Play Store App Store</v>
      </c>
    </row>
    <row r="2079" spans="1:2" x14ac:dyDescent="0.2">
      <c r="A2079" s="1" t="s">
        <v>4052</v>
      </c>
      <c r="B2079" s="1" t="str">
        <f ca="1">IFERROR(__xludf.DUMFUNCTION("GOOGLETRANSLATE(A2143,""id"",""en"")"),"Community for BBM subsidized list of vehicles for the  PublisHERSTORY website")</f>
        <v>Community for BBM subsidized list of vehicles for the  PublisHERSTORY website</v>
      </c>
    </row>
    <row r="2080" spans="1:2" x14ac:dyDescent="0.2">
      <c r="A2080" s="1" t="s">
        <v>4053</v>
      </c>
      <c r="B2080" s="1" t="str">
        <f ca="1">IFERROR(__xludf.DUMFUNCTION("GOOGLETRANSLATE(A2144,""id"",""en"")"),"Twitter ahhh yok opens trending when you see hmmm popo instagram  already copotmentridok still Available no small talk Crot wa Bio Hogeeyyy")</f>
        <v>Twitter ahhh yok opens trending when you see hmmm popo instagram  already copotmentridok still Available no small talk Crot wa Bio Hogeeyyy</v>
      </c>
    </row>
    <row r="2081" spans="1:2" x14ac:dyDescent="0.2">
      <c r="A2081" s="1" t="s">
        <v>3840</v>
      </c>
      <c r="B2081" s="1" t="str">
        <f ca="1">IFERROR(__xludf.DUMFUNCTION("GOOGLETRANSLATE(A2145,""id"",""en"")")," Terms of Playing SPBU Mobile")</f>
        <v xml:space="preserve"> Terms of Playing SPBU Mobile</v>
      </c>
    </row>
    <row r="2082" spans="1:2" x14ac:dyDescent="0.2">
      <c r="A2082" s="1" t="s">
        <v>4054</v>
      </c>
      <c r="B2082" s="1" t="str">
        <f ca="1">IFERROR(__xludf.DUMFUNCTION("GOOGLETRANSLATE(A2146,""id"",""en"")"),"Terpor  Gas Kg Kg Culinary Business Bandung Rejects Hard")</f>
        <v>Terpor  Gas Kg Kg Culinary Business Bandung Rejects Hard</v>
      </c>
    </row>
    <row r="2083" spans="1:2" x14ac:dyDescent="0.2">
      <c r="A2083" s="1" t="s">
        <v>4055</v>
      </c>
      <c r="B2083" s="1" t="str">
        <f ca="1">IFERROR(__xludf.DUMFUNCTION("GOOGLETRANSLATE(A2147,""id"",""en"")"),"Just think that what is not right full of hate who prohibits calling phone contents of BBM gas station signal calling calls the BBM contents System Open the  application")</f>
        <v>Just think that what is not right full of hate who prohibits calling phone contents of BBM gas station signal calling calls the BBM contents System Open the  application</v>
      </c>
    </row>
    <row r="2084" spans="1:2" x14ac:dyDescent="0.2">
      <c r="A2084" s="1" t="s">
        <v>4056</v>
      </c>
      <c r="B2084" s="1" t="str">
        <f ca="1">IFERROR(__xludf.DUMFUNCTION("GOOGLETRANSLATE(A2148,""id"",""en"")"),"Buy LPG Gas Kg  BBM Subsidies Pertalite Solar")</f>
        <v>Buy LPG Gas Kg  BBM Subsidies Pertalite Solar</v>
      </c>
    </row>
    <row r="2085" spans="1:2" x14ac:dyDescent="0.2">
      <c r="A2085" s="1" t="s">
        <v>4057</v>
      </c>
      <c r="B2085" s="1" t="str">
        <f ca="1">IFERROR(__xludf.DUMFUNCTION("GOOGLETRANSLATE(A2149,""id"",""en"")"),"consequences until the list of ")</f>
        <v xml:space="preserve">consequences until the list of </v>
      </c>
    </row>
    <row r="2086" spans="1:2" x14ac:dyDescent="0.2">
      <c r="A2086" s="1" t="s">
        <v>4058</v>
      </c>
      <c r="B2086" s="1" t="str">
        <f ca="1">IFERROR(__xludf.DUMFUNCTION("GOOGLETRANSLATE(A2150,""id"",""en"")")," for BBM Subsidy is monitored for the evaluation of distribution for use")</f>
        <v xml:space="preserve"> for BBM Subsidy is monitored for the evaluation of distribution for use</v>
      </c>
    </row>
    <row r="2087" spans="1:2" x14ac:dyDescent="0.2">
      <c r="A2087" s="1" t="s">
        <v>4059</v>
      </c>
      <c r="B2087" s="1" t="str">
        <f ca="1">IFERROR(__xludf.DUMFUNCTION("GOOGLETRANSLATE(A2151,""id"",""en"")"),"nice info hook  sis")</f>
        <v>nice info hook  sis</v>
      </c>
    </row>
    <row r="2088" spans="1:2" x14ac:dyDescent="0.2">
      <c r="A2088" s="1" t="s">
        <v>4060</v>
      </c>
      <c r="B2088" s="1" t="str">
        <f ca="1">IFERROR(__xludf.DUMFUNCTION("GOOGLETRANSLATE(A2152,""id"",""en"")"),"Etawa Goat Milk Full Cream Original Provit Amp Cream Powder Solution for Asthma Napas Cholesterol Link Tag  SPBU JKT Flyinghigh KCame Russia Time for Seventeen Prayer Mission Jokowi Mission")</f>
        <v>Etawa Goat Milk Full Cream Original Provit Amp Cream Powder Solution for Asthma Napas Cholesterol Link Tag  SPBU JKT Flyinghigh KCame Russia Time for Seventeen Prayer Mission Jokowi Mission</v>
      </c>
    </row>
    <row r="2089" spans="1:2" x14ac:dyDescent="0.2">
      <c r="A2089" s="1" t="s">
        <v>4061</v>
      </c>
      <c r="B2089" s="1" t="str">
        <f ca="1">IFERROR(__xludf.DUMFUNCTION("GOOGLETRANSLATE(A2153,""id"",""en"")"),"Open the cellphone, see the clock, tell me to open the  application")</f>
        <v>Open the cellphone, see the clock, tell me to open the  application</v>
      </c>
    </row>
    <row r="2090" spans="1:2" x14ac:dyDescent="0.2">
      <c r="A2090" s="1" t="s">
        <v>4033</v>
      </c>
      <c r="B2090" s="1" t="str">
        <f ca="1">IFERROR(__xludf.DUMFUNCTION("GOOGLETRANSLATE(A2154,""id"",""en"")"),"List of  Smartphone Applications")</f>
        <v>List of  Smartphone Applications</v>
      </c>
    </row>
    <row r="2091" spans="1:2" x14ac:dyDescent="0.2">
      <c r="A2091" s="1" t="s">
        <v>4062</v>
      </c>
      <c r="B2091" s="1" t="str">
        <f ca="1">IFERROR(__xludf.DUMFUNCTION("GOOGLETRANSLATE(A2155,""id"",""en"")"),"enter high school list ")</f>
        <v xml:space="preserve">enter high school list </v>
      </c>
    </row>
    <row r="2092" spans="1:2" x14ac:dyDescent="0.2">
      <c r="A2092" s="1" t="s">
        <v>4063</v>
      </c>
      <c r="B2092" s="1" t="str">
        <f ca="1">IFERROR(__xludf.DUMFUNCTION("GOOGLETRANSLATE(A2156,""id"",""en"")"),"Buy Cooking Oil Using Protection Cares Buy Gasoline Amp Gas LPG Kg Using   Buy crackers using  Kriuk ")</f>
        <v xml:space="preserve">Buy Cooking Oil Using Protection Cares Buy Gasoline Amp Gas LPG Kg Using   Buy crackers using  Kriuk </v>
      </c>
    </row>
    <row r="2093" spans="1:2" x14ac:dyDescent="0.2">
      <c r="A2093" s="1" t="s">
        <v>4064</v>
      </c>
      <c r="B2093" s="1" t="str">
        <f ca="1">IFERROR(__xludf.DUMFUNCTION("GOOGLETRANSLATE(A2157,""id"",""en"")"),"cursed which cell phone klean in apps carry  duli protected")</f>
        <v>cursed which cell phone klean in apps carry  duli protected</v>
      </c>
    </row>
    <row r="2094" spans="1:2" x14ac:dyDescent="0.2">
      <c r="A2094" s="1" t="s">
        <v>4065</v>
      </c>
      <c r="B2094" s="1" t="str">
        <f ca="1">IFERROR(__xludf.DUMFUNCTION("GOOGLETRANSLATE(A2158,""id"",""en"")"),"if the integration of  with links, I really use it")</f>
        <v>if the integration of  with links, I really use it</v>
      </c>
    </row>
    <row r="2095" spans="1:2" x14ac:dyDescent="0.2">
      <c r="A2095" s="1" t="s">
        <v>4066</v>
      </c>
      <c r="B2095" s="1" t="str">
        <f ca="1">IFERROR(__xludf.DUMFUNCTION("GOOGLETRANSLATE(A2159,""id"",""en"")"),"wahh is good business next to mas mba pom tetring open app  hehehe")</f>
        <v>wahh is good business next to mas mba pom tetring open app  hehehe</v>
      </c>
    </row>
    <row r="2096" spans="1:2" x14ac:dyDescent="0.2">
      <c r="A2096" s="1" t="s">
        <v>4067</v>
      </c>
      <c r="B2096" s="1" t="str">
        <f ca="1">IFERROR(__xludf.DUMFUNCTION("GOOGLETRANSLATE(A2160,""id"",""en"")"),"calm down people buy pertalite solar  application")</f>
        <v>calm down people buy pertalite solar  application</v>
      </c>
    </row>
    <row r="2097" spans="1:2" x14ac:dyDescent="0.2">
      <c r="A2097" s="1" t="s">
        <v>4068</v>
      </c>
      <c r="B2097" s="1" t="str">
        <f ca="1">IFERROR(__xludf.DUMFUNCTION("GOOGLETRANSLATE(A2161,""id"",""en"")")," has to pay for digital money on the BLM balance system using HRS deposit until the limit")</f>
        <v xml:space="preserve"> has to pay for digital money on the BLM balance system using HRS deposit until the limit</v>
      </c>
    </row>
    <row r="2098" spans="1:2" x14ac:dyDescent="0.2">
      <c r="A2098" s="1" t="s">
        <v>4069</v>
      </c>
      <c r="B2098" s="1" t="str">
        <f ca="1">IFERROR(__xludf.DUMFUNCTION("GOOGLETRANSLATE(A2162,""id"",""en"")")," Application PLN Application Peduliar Protect HP Full with Applications Need Day")</f>
        <v xml:space="preserve"> Application PLN Application Peduliar Protect HP Full with Applications Need Day</v>
      </c>
    </row>
    <row r="2099" spans="1:2" x14ac:dyDescent="0.2">
      <c r="A2099" s="1" t="s">
        <v>121</v>
      </c>
      <c r="B2099" s="1" t="str">
        <f ca="1">IFERROR(__xludf.DUMFUNCTION("GOOGLETRANSLATE(A2163,""id"",""en"")"),"Adjust electricity tariffs Seting BBM subsidized consumers according to the price of oval energy conditions")</f>
        <v>Adjust electricity tariffs Seting BBM subsidized consumers according to the price of oval energy conditions</v>
      </c>
    </row>
    <row r="2100" spans="1:2" x14ac:dyDescent="0.2">
      <c r="A2100" s="1" t="s">
        <v>4070</v>
      </c>
      <c r="B2100" s="1" t="str">
        <f ca="1">IFERROR(__xludf.DUMFUNCTION("GOOGLETRANSLATE(A2164,""id"",""en"")"),"Revised  Application to Buy Pertalite Gas Station Buy SPBU Jeblug")</f>
        <v>Revised  Application to Buy Pertalite Gas Station Buy SPBU Jeblug</v>
      </c>
    </row>
    <row r="2101" spans="1:2" x14ac:dyDescent="0.2">
      <c r="A2101" s="1" t="s">
        <v>4071</v>
      </c>
      <c r="B2101" s="1" t="str">
        <f ca="1">IFERROR(__xludf.DUMFUNCTION("GOOGLETRANSLATE(A2165,""id"",""en"")")," is available on the online list of  applications directly gas station")</f>
        <v xml:space="preserve"> is available on the online list of  applications directly gas station</v>
      </c>
    </row>
    <row r="2102" spans="1:2" x14ac:dyDescent="0.2">
      <c r="A2102" s="1" t="s">
        <v>4072</v>
      </c>
      <c r="B2102" s="1" t="str">
        <f ca="1">IFERROR(__xludf.DUMFUNCTION("GOOGLETRANSLATE(A2166,""id"",""en"")"),"clever playing the issue of  wkwk")</f>
        <v>clever playing the issue of  wkwk</v>
      </c>
    </row>
    <row r="2103" spans="1:2" x14ac:dyDescent="0.2">
      <c r="A2103" s="1" t="s">
        <v>4073</v>
      </c>
      <c r="B2103" s="1" t="str">
        <f ca="1">IFERROR(__xludf.DUMFUNCTION("GOOGLETRANSLATE(A2167,""id"",""en"")")," Tools Transfer Issues")</f>
        <v xml:space="preserve"> Tools Transfer Issues</v>
      </c>
    </row>
    <row r="2104" spans="1:2" x14ac:dyDescent="0.2">
      <c r="A2104" s="1" t="s">
        <v>4074</v>
      </c>
      <c r="B2104" s="1" t="str">
        <f ca="1">IFERROR(__xludf.DUMFUNCTION("GOOGLETRANSLATE(A2168,""id"",""en"")"),"PERTALITE SOLAR PLAN commands to buy LPG Kg  Central Kalimantan application owned by CNNIndonesia DetikNetwork mobile phone")</f>
        <v>PERTALITE SOLAR PLAN commands to buy LPG Kg  Central Kalimantan application owned by CNNIndonesia DetikNetwork mobile phone</v>
      </c>
    </row>
    <row r="2105" spans="1:2" x14ac:dyDescent="0.2">
      <c r="A2105" s="1" t="s">
        <v>4075</v>
      </c>
      <c r="B2105" s="1" t="str">
        <f ca="1">IFERROR(__xludf.DUMFUNCTION("GOOGLETRANSLATE(A2169,""id"",""en"")"),"Emng aimed at the list of  not paying data on fuel subsidies but if you pay for  , please")</f>
        <v>Emng aimed at the list of  not paying data on fuel subsidies but if you pay for  , please</v>
      </c>
    </row>
    <row r="2106" spans="1:2" x14ac:dyDescent="0.2">
      <c r="A2106" s="1" t="s">
        <v>985</v>
      </c>
      <c r="B2106" s="1" t="str">
        <f ca="1">IFERROR(__xludf.DUMFUNCTION("GOOGLETRANSLATE(A2170,""id"",""en"")"),"PT  Persero Change Salur Subsidy LPG Kg Test Silence")</f>
        <v>PT  Persero Change Salur Subsidy LPG Kg Test Silence</v>
      </c>
    </row>
    <row r="2107" spans="1:2" x14ac:dyDescent="0.2">
      <c r="A2107" s="1" t="s">
        <v>4076</v>
      </c>
      <c r="B2107" s="1" t="str">
        <f ca="1">IFERROR(__xludf.DUMFUNCTION("GOOGLETRANSLATE(A2171,""id"",""en"")"),"In order to apply  guarantee fuel subsidized sarapan maximum of seven full consumer job")</f>
        <v>In order to apply  guarantee fuel subsidized sarapan maximum of seven full consumer job</v>
      </c>
    </row>
    <row r="2108" spans="1:2" x14ac:dyDescent="0.2">
      <c r="A2108" s="1" t="s">
        <v>4077</v>
      </c>
      <c r="B2108" s="1" t="str">
        <f ca="1">IFERROR(__xludf.DUMFUNCTION("GOOGLETRANSLATE(A2172,""id"",""en"")"),"indeed using the  Corruption application is lost as  profit")</f>
        <v>indeed using the  Corruption application is lost as  profit</v>
      </c>
    </row>
    <row r="2109" spans="1:2" x14ac:dyDescent="0.2">
      <c r="A2109" s="1" t="s">
        <v>4078</v>
      </c>
      <c r="B2109" s="1" t="str">
        <f ca="1">IFERROR(__xludf.DUMFUNCTION("GOOGLETRANSLATE(A2173,""id"",""en"")"),"Km, a resident of West Sumatra, refused to buy pertalite using ")</f>
        <v xml:space="preserve">Km, a resident of West Sumatra, refused to buy pertalite using </v>
      </c>
    </row>
    <row r="2110" spans="1:2" x14ac:dyDescent="0.2">
      <c r="A2110" s="1" t="s">
        <v>4079</v>
      </c>
      <c r="B2110" s="1" t="str">
        <f ca="1">IFERROR(__xludf.DUMFUNCTION("GOOGLETRANSLATE(A2174,""id"",""en"")"),"Download the  Application Buy Pertalite Pay Cash Yes Linkaja")</f>
        <v>Download the  Application Buy Pertalite Pay Cash Yes Linkaja</v>
      </c>
    </row>
    <row r="2111" spans="1:2" x14ac:dyDescent="0.2">
      <c r="A2111" s="1" t="s">
        <v>4080</v>
      </c>
      <c r="B2111" s="1" t="str">
        <f ca="1">IFERROR(__xludf.DUMFUNCTION("GOOGLETRANSLATE(A2175,""id"",""en"")"),"PT  Patra Niaga Opens the Identity List of the Identity of the  Website July  BBM Beritaterkini Sumaid")</f>
        <v>PT  Patra Niaga Opens the Identity List of the Identity of the  Website July  BBM Beritaterkini Sumaid</v>
      </c>
    </row>
    <row r="2112" spans="1:2" x14ac:dyDescent="0.2">
      <c r="A2112" s="1" t="s">
        <v>4081</v>
      </c>
      <c r="B2112" s="1" t="str">
        <f ca="1">IFERROR(__xludf.DUMFUNCTION("GOOGLETRANSLATE(A2176,""id"",""en"")"),"the applications of  access to BBM access subsidies aware of strict")</f>
        <v>the applications of  access to BBM access subsidies aware of strict</v>
      </c>
    </row>
    <row r="2113" spans="1:2" x14ac:dyDescent="0.2">
      <c r="A2113" s="1" t="s">
        <v>4082</v>
      </c>
      <c r="B2113" s="1" t="str">
        <f ca="1">IFERROR(__xludf.DUMFUNCTION("GOOGLETRANSLATE(A2177,""id"",""en"")"),"Mgtnews Disdagin Industry Office Bandung City Kendara Motor use for the  application to buy BBM type pertalite mgtplay mgtradio")</f>
        <v>Mgtnews Disdagin Industry Office Bandung City Kendara Motor use for the  application to buy BBM type pertalite mgtplay mgtradio</v>
      </c>
    </row>
    <row r="2114" spans="1:2" x14ac:dyDescent="0.2">
      <c r="A2114" s="1" t="s">
        <v>4083</v>
      </c>
      <c r="B2114" s="1" t="str">
        <f ca="1">IFERROR(__xludf.DUMFUNCTION("GOOGLETRANSLATE(A2178,""id"",""en"")"),"Record Buy LPG Kg Must Use  Application Complete MataIndonesia Gaslpg LPG Kg  Application")</f>
        <v>Record Buy LPG Kg Must Use  Application Complete MataIndonesia Gaslpg LPG Kg  Application</v>
      </c>
    </row>
    <row r="2115" spans="1:2" x14ac:dyDescent="0.2">
      <c r="A2115" s="1" t="s">
        <v>4084</v>
      </c>
      <c r="B2115" s="1" t="str">
        <f ca="1">IFERROR(__xludf.DUMFUNCTION("GOOGLETRANSLATE(A2179,""id"",""en"")"),"must download  dlu contents htimu")</f>
        <v>must download  dlu contents htimu</v>
      </c>
    </row>
    <row r="2116" spans="1:2" x14ac:dyDescent="0.2">
      <c r="A2116" s="1" t="s">
        <v>122</v>
      </c>
      <c r="B2116" s="1" t="str">
        <f ca="1">IFERROR(__xludf.DUMFUNCTION("GOOGLETRANSLATE(A2180,""id"",""en"")"),"Set electricity tariffs Seting BBM subsidized BBM Consumers according to the price of oval energy geopolitical conditions of tempobusiness global")</f>
        <v>Set electricity tariffs Seting BBM subsidized BBM Consumers according to the price of oval energy geopolitical conditions of tempobusiness global</v>
      </c>
    </row>
    <row r="2117" spans="1:2" x14ac:dyDescent="0.2">
      <c r="A2117" s="1" t="s">
        <v>4085</v>
      </c>
      <c r="B2117" s="1" t="str">
        <f ca="1">IFERROR(__xludf.DUMFUNCTION("GOOGLETRANSLATE(A2181,""id"",""en"")"),"selling free pertalite quota of oil aka fuel ron complete limit of KPJ  ")</f>
        <v xml:space="preserve">selling free pertalite quota of oil aka fuel ron complete limit of KPJ  </v>
      </c>
    </row>
    <row r="2118" spans="1:2" x14ac:dyDescent="0.2">
      <c r="A2118" s="1" t="s">
        <v>4086</v>
      </c>
      <c r="B2118" s="1" t="str">
        <f ca="1">IFERROR(__xludf.DUMFUNCTION("GOOGLETRANSLATE(A2182,""id"",""en"")"),"men download the  application download pasu profit definitely a country")</f>
        <v>men download the  application download pasu profit definitely a country</v>
      </c>
    </row>
    <row r="2119" spans="1:2" x14ac:dyDescent="0.2">
      <c r="A2119" s="1" t="s">
        <v>4087</v>
      </c>
      <c r="B2119" s="1" t="str">
        <f ca="1">IFERROR(__xludf.DUMFUNCTION("GOOGLETRANSLATE(A2183,""id"",""en"")")," go to data mining times")</f>
        <v xml:space="preserve"> go to data mining times</v>
      </c>
    </row>
    <row r="2120" spans="1:2" x14ac:dyDescent="0.2">
      <c r="A2120" s="1" t="s">
        <v>4088</v>
      </c>
      <c r="B2120" s="1" t="str">
        <f ca="1">IFERROR(__xludf.DUMFUNCTION("GOOGLETRANSLATE(A2184,""id"",""en"")"),"The  Application Just Register Lwt Lwt Direct SPBU PAY PAY CASH, I Listen")</f>
        <v>The  Application Just Register Lwt Lwt Direct SPBU PAY PAY CASH, I Listen</v>
      </c>
    </row>
    <row r="2121" spans="1:2" x14ac:dyDescent="0.2">
      <c r="A2121" s="1" t="s">
        <v>4089</v>
      </c>
      <c r="B2121" s="1" t="str">
        <f ca="1">IFERROR(__xludf.DUMFUNCTION("GOOGLETRANSLATE(A2185,""id"",""en"")")," Open a List of Kendara Identity of the  July Website")</f>
        <v xml:space="preserve"> Open a List of Kendara Identity of the  July Website</v>
      </c>
    </row>
    <row r="2122" spans="1:2" x14ac:dyDescent="0.2">
      <c r="A2122" s="1" t="s">
        <v>4090</v>
      </c>
      <c r="B2122" s="1" t="str">
        <f ca="1">IFERROR(__xludf.DUMFUNCTION("GOOGLETRANSLATE(A2186,""id"",""en"")"),"ahok ask, please buy fuel type pertalite gas station  gas stations don't play cellphones buy fuel please")</f>
        <v>ahok ask, please buy fuel type pertalite gas station  gas stations don't play cellphones buy fuel please</v>
      </c>
    </row>
    <row r="2123" spans="1:2" x14ac:dyDescent="0.2">
      <c r="A2123" s="1" t="s">
        <v>4091</v>
      </c>
      <c r="B2123" s="1" t="str">
        <f ca="1">IFERROR(__xludf.DUMFUNCTION("GOOGLETRANSLATE(A2187,""id"",""en"")"),"Pay for buying BBM Pertalite Solar Qr the code is a list of  sites")</f>
        <v>Pay for buying BBM Pertalite Solar Qr the code is a list of  sites</v>
      </c>
    </row>
    <row r="2124" spans="1:2" x14ac:dyDescent="0.2">
      <c r="A2124" s="1" t="s">
        <v>4092</v>
      </c>
      <c r="B2124" s="1" t="str">
        <f ca="1">IFERROR(__xludf.DUMFUNCTION("GOOGLETRANSLATE(A2188,""id"",""en"")"),"Viral List of  Easy Application  BBM Subsidies News Viral Trending")</f>
        <v>Viral List of  Easy Application  BBM Subsidies News Viral Trending</v>
      </c>
    </row>
    <row r="2125" spans="1:2" x14ac:dyDescent="0.2">
      <c r="A2125" s="1" t="s">
        <v>4093</v>
      </c>
      <c r="B2125" s="1" t="str">
        <f ca="1">IFERROR(__xludf.DUMFUNCTION("GOOGLETRANSLATE(A2189,""id"",""en"")"),"For , buy pertalite ylki, the value of the fuel price increases")</f>
        <v>For , buy pertalite ylki, the value of the fuel price increases</v>
      </c>
    </row>
    <row r="2126" spans="1:2" x14ac:dyDescent="0.2">
      <c r="A2126" s="1" t="s">
        <v>4094</v>
      </c>
      <c r="B2126" s="1" t="str">
        <f ca="1">IFERROR(__xludf.DUMFUNCTION("GOOGLETRANSLATE(A2190,""id"",""en"")"),"Powder Drinking Kg Powder Drinking Powder Drinking Various Powder Drinking Now Link Tag  SPBU JKT Flyinghigh KCame Russia Time for Seventeen Prayer Mission Jokowi")</f>
        <v>Powder Drinking Kg Powder Drinking Powder Drinking Various Powder Drinking Now Link Tag  SPBU JKT Flyinghigh KCame Russia Time for Seventeen Prayer Mission Jokowi</v>
      </c>
    </row>
    <row r="2127" spans="1:2" x14ac:dyDescent="0.2">
      <c r="A2127" s="1" t="s">
        <v>4095</v>
      </c>
      <c r="B2127" s="1" t="str">
        <f ca="1">IFERROR(__xludf.DUMFUNCTION("GOOGLETRANSLATE(A2191,""id"",""en"")"),"Salur BBM Subsidy Types of Pertalite System  Selling July, Wisely Responded to the Complete Code of Name Kda")</f>
        <v>Salur BBM Subsidy Types of Pertalite System  Selling July, Wisely Responded to the Complete Code of Name Kda</v>
      </c>
    </row>
    <row r="2128" spans="1:2" x14ac:dyDescent="0.2">
      <c r="A2128" s="1" t="s">
        <v>4096</v>
      </c>
      <c r="B2128" s="1" t="str">
        <f ca="1">IFERROR(__xludf.DUMFUNCTION("GOOGLETRANSLATE(A2192,""id"",""en"")"),"the public is worried if you enter the  application access")</f>
        <v>the public is worried if you enter the  application access</v>
      </c>
    </row>
    <row r="2129" spans="1:2" x14ac:dyDescent="0.2">
      <c r="A2129" s="1" t="s">
        <v>4097</v>
      </c>
      <c r="B2129" s="1" t="str">
        <f ca="1">IFERROR(__xludf.DUMFUNCTION("GOOGLETRANSLATE(A2193,""id"",""en"")"),"July  is obliged to buy BBM subsidized  application subsidies")</f>
        <v>July  is obliged to buy BBM subsidized  application subsidies</v>
      </c>
    </row>
    <row r="2130" spans="1:2" x14ac:dyDescent="0.2">
      <c r="A2130" s="1" t="s">
        <v>4098</v>
      </c>
      <c r="B2130" s="1" t="str">
        <f ca="1">IFERROR(__xludf.DUMFUNCTION("GOOGLETRANSLATE(A2194,""id"",""en"")"),"Gempar stamp hard  bad review google play netizens support Jokowi joining the review disappointed")</f>
        <v>Gempar stamp hard  bad review google play netizens support Jokowi joining the review disappointed</v>
      </c>
    </row>
    <row r="2131" spans="1:2" x14ac:dyDescent="0.2">
      <c r="A2131" s="1" t="s">
        <v>4092</v>
      </c>
      <c r="B2131" s="1" t="str">
        <f ca="1">IFERROR(__xludf.DUMFUNCTION("GOOGLETRANSLATE(A2195,""id"",""en"")"),"Viral List of  Easy Application  BBM Subsidies News Viral Trending")</f>
        <v>Viral List of  Easy Application  BBM Subsidies News Viral Trending</v>
      </c>
    </row>
    <row r="2132" spans="1:2" x14ac:dyDescent="0.2">
      <c r="A2132" s="1" t="s">
        <v>4099</v>
      </c>
      <c r="B2132" s="1" t="str">
        <f ca="1">IFERROR(__xludf.DUMFUNCTION("GOOGLETRANSLATE(A2196,""id"",""en"")"),"the motorbike is not listing  mandatory wheel vehicles see clearly news articles")</f>
        <v>the motorbike is not listing  mandatory wheel vehicles see clearly news articles</v>
      </c>
    </row>
    <row r="2133" spans="1:2" x14ac:dyDescent="0.2">
      <c r="A2133" s="1" t="s">
        <v>4100</v>
      </c>
      <c r="B2133" s="1" t="str">
        <f ca="1">IFERROR(__xludf.DUMFUNCTION("GOOGLETRANSLATE(A2197,""id"",""en"")"),"Meeting for the  Application Google Play Store Low Rating Application News")</f>
        <v>Meeting for the  Application Google Play Store Low Rating Application News</v>
      </c>
    </row>
    <row r="2134" spans="1:2" x14ac:dyDescent="0.2">
      <c r="A2134" s="1" t="s">
        <v>4101</v>
      </c>
      <c r="B2134" s="1" t="str">
        <f ca="1">IFERROR(__xludf.DUMFUNCTION("GOOGLETRANSLATE(A2198,""id"",""en"")")," HP AMAN SPBU APPLICATION TRANSACTION SPBU Minimum Distance of BBM Dispensers")</f>
        <v xml:space="preserve"> HP AMAN SPBU APPLICATION TRANSACTION SPBU Minimum Distance of BBM Dispensers</v>
      </c>
    </row>
    <row r="2135" spans="1:2" x14ac:dyDescent="0.2">
      <c r="A2135" s="1" t="s">
        <v>4102</v>
      </c>
      <c r="B2135" s="1" t="str">
        <f ca="1">IFERROR(__xludf.DUMFUNCTION("GOOGLETRANSLATE(A2199,""id"",""en"")"),"afraid that the  application to buy a safe gas station subsidy pertalite")</f>
        <v>afraid that the  application to buy a safe gas station subsidy pertalite</v>
      </c>
    </row>
    <row r="2136" spans="1:2" x14ac:dyDescent="0.2">
      <c r="A2136" s="1" t="s">
        <v>4103</v>
      </c>
      <c r="B2136" s="1" t="str">
        <f ca="1">IFERROR(__xludf.DUMFUNCTION("GOOGLETRANSLATE(A2200,""id"",""en"")"),"utas ketriger some tweet that is a picture of a burning car contents of BBM if the error apps must complain about  for good tomorrow the apps will be used by people who install ")</f>
        <v xml:space="preserve">utas ketriger some tweet that is a picture of a burning car contents of BBM if the error apps must complain about  for good tomorrow the apps will be used by people who install </v>
      </c>
    </row>
    <row r="2137" spans="1:2" x14ac:dyDescent="0.2">
      <c r="A2137" s="1" t="s">
        <v>4104</v>
      </c>
      <c r="B2137" s="1" t="str">
        <f ca="1">IFERROR(__xludf.DUMFUNCTION("GOOGLETRANSLATE(A2201,""id"",""en"")"),"which is a plan for the plan for the  application to buy a solar subsidy pertalite ma")</f>
        <v>which is a plan for the plan for the  application to buy a solar subsidy pertalite ma</v>
      </c>
    </row>
    <row r="2138" spans="1:2" x14ac:dyDescent="0.2">
      <c r="A2138" s="1" t="s">
        <v>4105</v>
      </c>
      <c r="B2138" s="1" t="str">
        <f ca="1">IFERROR(__xludf.DUMFUNCTION("GOOGLETRANSLATE(A2202,""id"",""en"")"),"buy kilogram lpg gas using  like")</f>
        <v>buy kilogram lpg gas using  like</v>
      </c>
    </row>
    <row r="2139" spans="1:2" x14ac:dyDescent="0.2">
      <c r="A2139" s="1" t="s">
        <v>4106</v>
      </c>
      <c r="B2139" s="1" t="str">
        <f ca="1">IFERROR(__xludf.DUMFUNCTION("GOOGLETRANSLATE(A2203,""id"",""en"")"),"Buy LPG Kilograms Using  List")</f>
        <v>Buy LPG Kilograms Using  List</v>
      </c>
    </row>
    <row r="2140" spans="1:2" x14ac:dyDescent="0.2">
      <c r="A2140" s="1" t="s">
        <v>4107</v>
      </c>
      <c r="B2140" s="1" t="str">
        <f ca="1">IFERROR(__xludf.DUMFUNCTION("GOOGLETRANSLATE(A2204,""id"",""en"")"),"If it's complicated, what are you using simple, the contents of the solar pertalite gasoline using the  application, it's already strange if you reduce it for pertalite, just say the wkwk is really smooth")</f>
        <v>If it's complicated, what are you using simple, the contents of the solar pertalite gasoline using the  application, it's already strange if you reduce it for pertalite, just say the wkwk is really smooth</v>
      </c>
    </row>
    <row r="2141" spans="1:2" x14ac:dyDescent="0.2">
      <c r="A2141" s="1" t="s">
        <v>4108</v>
      </c>
      <c r="B2141" s="1" t="str">
        <f ca="1">IFERROR(__xludf.DUMFUNCTION("GOOGLETRANSLATE(A2205,""id"",""en"")"),"told to use  the task is lazy to bring money")</f>
        <v>told to use  the task is lazy to bring money</v>
      </c>
    </row>
    <row r="2142" spans="1:2" x14ac:dyDescent="0.2">
      <c r="A2142" s="1" t="s">
        <v>4109</v>
      </c>
      <c r="B2142" s="1" t="str">
        <f ca="1">IFERROR(__xludf.DUMFUNCTION("GOOGLETRANSLATE(A2206,""id"",""en"")"),"cool consumer solution to access  apps")</f>
        <v>cool consumer solution to access  apps</v>
      </c>
    </row>
    <row r="2143" spans="1:2" x14ac:dyDescent="0.2">
      <c r="A2143" s="1" t="s">
        <v>4110</v>
      </c>
      <c r="B2143" s="1" t="str">
        <f ca="1">IFERROR(__xludf.DUMFUNCTION("GOOGLETRANSLATE(A2207,""id"",""en"")"),"The transport driver I plan to sell the  application to buy BBM Fuel Type of Pertalite Solar Subsidy   Pertalite Solar BUMN Cekulugedcom")</f>
        <v>The transport driver I plan to sell the  application to buy BBM Fuel Type of Pertalite Solar Subsidy   Pertalite Solar BUMN Cekulugedcom</v>
      </c>
    </row>
    <row r="2144" spans="1:2" x14ac:dyDescent="0.2">
      <c r="A2144" s="1" t="s">
        <v>4111</v>
      </c>
      <c r="B2144" s="1" t="str">
        <f ca="1">IFERROR(__xludf.DUMFUNCTION("GOOGLETRANSLATE(A2208,""id"",""en"")"),"I swear now it's complicated, not the cashless uses ovo gopay spay funds to fill gasoline using  entering the mall using the protected nntn tix id cinepolus etc.  cellphone is full of app.")</f>
        <v>I swear now it's complicated, not the cashless uses ovo gopay spay funds to fill gasoline using  entering the mall using the protected nntn tix id cinepolus etc.  cellphone is full of app.</v>
      </c>
    </row>
    <row r="2145" spans="1:2" x14ac:dyDescent="0.2">
      <c r="A2145" s="1" t="s">
        <v>4024</v>
      </c>
      <c r="B2145" s="1" t="str">
        <f ca="1">IFERROR(__xludf.DUMFUNCTION("GOOGLETRANSLATE(A2209,""id"",""en"")"),"Sasar Sasar July  Open List of  Website")</f>
        <v>Sasar Sasar July  Open List of  Website</v>
      </c>
    </row>
    <row r="2146" spans="1:2" x14ac:dyDescent="0.2">
      <c r="A2146" s="1" t="s">
        <v>4112</v>
      </c>
      <c r="B2146" s="1" t="str">
        <f ca="1">IFERROR(__xludf.DUMFUNCTION("GOOGLETRANSLATE(A2210,""id"",""en"")"),"List of   News Applications   News LPG LPG Kg LPGMelon Pertalite Solar Pandang views Jogja Kumpar")</f>
        <v>List of   News Applications   News LPG LPG Kg LPGMelon Pertalite Solar Pandang views Jogja Kumpar</v>
      </c>
    </row>
    <row r="2147" spans="1:2" x14ac:dyDescent="0.2">
      <c r="A2147" s="1" t="s">
        <v>4113</v>
      </c>
      <c r="B2147" s="1" t="str">
        <f ca="1">IFERROR(__xludf.DUMFUNCTION("GOOGLETRANSLATE(A2211,""id"",""en"")"),"GK Drags Install ")</f>
        <v xml:space="preserve">GK Drags Install </v>
      </c>
    </row>
    <row r="2148" spans="1:2" x14ac:dyDescent="0.2">
      <c r="A2148" s="1" t="s">
        <v>4114</v>
      </c>
      <c r="B2148" s="1" t="str">
        <f ca="1">IFERROR(__xludf.DUMFUNCTION("GOOGLETRANSLATE(A2212,""id"",""en"")"),"Watch out for the illegal application site  deception")</f>
        <v>Watch out for the illegal application site  deception</v>
      </c>
    </row>
    <row r="2149" spans="1:2" x14ac:dyDescent="0.2">
      <c r="A2149" s="1" t="s">
        <v>4115</v>
      </c>
      <c r="B2149" s="1" t="str">
        <f ca="1">IFERROR(__xludf.DUMFUNCTION("GOOGLETRANSLATE(A2213,""id"",""en"")"),"Fill in Pertalite Regis gasoline buying LPG gas list  developed countries just buy not using the Indonesian application application anyway")</f>
        <v>Fill in Pertalite Regis gasoline buying LPG gas list  developed countries just buy not using the Indonesian application application anyway</v>
      </c>
    </row>
    <row r="2150" spans="1:2" x14ac:dyDescent="0.2">
      <c r="A2150" s="1" t="s">
        <v>4116</v>
      </c>
      <c r="B2150" s="1" t="str">
        <f ca="1">IFERROR(__xludf.DUMFUNCTION("GOOGLETRANSLATE(A2214,""id"",""en"")"),"LPG Testing Silent Silent Sitting  Director of Regional Market PT  Patra Niaga")</f>
        <v>LPG Testing Silent Silent Sitting  Director of Regional Market PT  Patra Niaga</v>
      </c>
    </row>
    <row r="2151" spans="1:2" x14ac:dyDescent="0.2">
      <c r="A2151" s="1" t="s">
        <v>4024</v>
      </c>
      <c r="B2151" s="1" t="str">
        <f ca="1">IFERROR(__xludf.DUMFUNCTION("GOOGLETRANSLATE(A2215,""id"",""en"")"),"Sasar Sasar July  Open List of  Website")</f>
        <v>Sasar Sasar July  Open List of  Website</v>
      </c>
    </row>
    <row r="2152" spans="1:2" x14ac:dyDescent="0.2">
      <c r="A2152" s="1" t="s">
        <v>3948</v>
      </c>
      <c r="B2152" s="1" t="str">
        <f ca="1">IFERROR(__xludf.DUMFUNCTION("GOOGLETRANSLATE(A2216,""id"",""en"")"),"buy pertalite using  simultaneously in September specifically Java")</f>
        <v>buy pertalite using  simultaneously in September specifically Java</v>
      </c>
    </row>
    <row r="2153" spans="1:2" x14ac:dyDescent="0.2">
      <c r="A2153" s="1" t="s">
        <v>4117</v>
      </c>
      <c r="B2153" s="1" t="str">
        <f ca="1">IFERROR(__xludf.DUMFUNCTION("GOOGLETRANSLATE(A2217,""id"",""en"")"),"Please read this so that you can show QR Code Buy Solar Pertalite must use the pertamin application")</f>
        <v>Please read this so that you can show QR Code Buy Solar Pertalite must use the pertamin application</v>
      </c>
    </row>
    <row r="2154" spans="1:2" x14ac:dyDescent="0.2">
      <c r="A2154" s="1" t="s">
        <v>4118</v>
      </c>
      <c r="B2154" s="1" t="str">
        <f ca="1">IFERROR(__xludf.DUMFUNCTION("GOOGLETRANSLATE(A2218,""id"",""en"")"),"spbuask bro, downloading apk mod that is recorded by mo download  unlimited fuel wkeoakeoa")</f>
        <v>spbuask bro, downloading apk mod that is recorded by mo download  unlimited fuel wkeoakeoa</v>
      </c>
    </row>
    <row r="2155" spans="1:2" x14ac:dyDescent="0.2">
      <c r="A2155" s="1" t="s">
        <v>4119</v>
      </c>
      <c r="B2155" s="1" t="str">
        <f ca="1">IFERROR(__xludf.DUMFUNCTION("GOOGLETRANSLATE(A2219,""id"",""en"")"),"Sasar Sasar July  Open List of 's Website Via News")</f>
        <v>Sasar Sasar July  Open List of 's Website Via News</v>
      </c>
    </row>
    <row r="2156" spans="1:2" x14ac:dyDescent="0.2">
      <c r="A2156" s="1" t="s">
        <v>4120</v>
      </c>
      <c r="B2156" s="1" t="str">
        <f ca="1">IFERROR(__xludf.DUMFUNCTION("GOOGLETRANSLATE(A2220,""id"",""en"")"),"I mean to buy BBM using  from , it's also good, so that the fuel subsidy is the Socialization of Socialization, it's also an offline booth for each gas station")</f>
        <v>I mean to buy BBM using  from , it's also good, so that the fuel subsidy is the Socialization of Socialization, it's also an offline booth for each gas station</v>
      </c>
    </row>
    <row r="2157" spans="1:2" x14ac:dyDescent="0.2">
      <c r="A2157" s="1" t="s">
        <v>4121</v>
      </c>
      <c r="B2157" s="1" t="str">
        <f ca="1">IFERROR(__xludf.DUMFUNCTION("GOOGLETRANSLATE(A2221,""id"",""en"")"),"Community of Cash Mandatory Digital Wallet Rellation  Application Buy Fuel Pertalite Dompetdigital Money Lampungpostid")</f>
        <v>Community of Cash Mandatory Digital Wallet Rellation  Application Buy Fuel Pertalite Dompetdigital Money Lampungpostid</v>
      </c>
    </row>
    <row r="2158" spans="1:2" x14ac:dyDescent="0.2">
      <c r="A2158" s="1" t="s">
        <v>4071</v>
      </c>
      <c r="B2158" s="1" t="str">
        <f ca="1">IFERROR(__xludf.DUMFUNCTION("GOOGLETRANSLATE(A2222,""id"",""en"")")," is available on the online list of  applications directly gas station")</f>
        <v xml:space="preserve"> is available on the online list of  applications directly gas station</v>
      </c>
    </row>
    <row r="2159" spans="1:2" x14ac:dyDescent="0.2">
      <c r="A2159" s="1" t="s">
        <v>123</v>
      </c>
      <c r="B2159" s="1" t="str">
        <f ca="1">IFERROR(__xludf.DUMFUNCTION("GOOGLETRANSLATE(A2223,""id"",""en"")"),"wisely misguided poor people forced smart phones to buy LPG gas kg from buying a Mendi cellphone")</f>
        <v>wisely misguided poor people forced smart phones to buy LPG gas kg from buying a Mendi cellphone</v>
      </c>
    </row>
    <row r="2160" spans="1:2" x14ac:dyDescent="0.2">
      <c r="A2160" s="1" t="s">
        <v>4122</v>
      </c>
      <c r="B2160" s="1" t="str">
        <f ca="1">IFERROR(__xludf.DUMFUNCTION("GOOGLETRANSLATE(A2224,""id"",""en"")"),"Field Facts How do people use  gas stations don't support what payment is like that")</f>
        <v>Field Facts How do people use  gas stations don't support what payment is like that</v>
      </c>
    </row>
    <row r="2161" spans="1:2" x14ac:dyDescent="0.2">
      <c r="A2161" s="1" t="s">
        <v>4123</v>
      </c>
      <c r="B2161" s="1" t="str">
        <f ca="1">IFERROR(__xludf.DUMFUNCTION("GOOGLETRANSLATE(A2225,""id"",""en"")"),"Aj I fill in Pertalite Cibubur, the task is reluctant to use ")</f>
        <v xml:space="preserve">Aj I fill in Pertalite Cibubur, the task is reluctant to use </v>
      </c>
    </row>
    <row r="2162" spans="1:2" x14ac:dyDescent="0.2">
      <c r="A2162" s="1" t="s">
        <v>4124</v>
      </c>
      <c r="B2162" s="1" t="str">
        <f ca="1">IFERROR(__xludf.DUMFUNCTION("GOOGLETRANSLATE(A2226,""id"",""en"")"),"buy pertalite  applications arise community problems")</f>
        <v>buy pertalite  applications arise community problems</v>
      </c>
    </row>
    <row r="2163" spans="1:2" x14ac:dyDescent="0.2">
      <c r="A2163" s="1" t="s">
        <v>4125</v>
      </c>
      <c r="B2163" s="1" t="str">
        <f ca="1">IFERROR(__xludf.DUMFUNCTION("GOOGLETRANSLATE(A2227,""id"",""en"")"),"gr javaland javaland powder drink javaland gr link tag  gas station jkt flyinghigh kcame russia time for seventeen prayer mission jokowi")</f>
        <v>gr javaland javaland powder drink javaland gr link tag  gas station jkt flyinghigh kcame russia time for seventeen prayer mission jokowi</v>
      </c>
    </row>
    <row r="2164" spans="1:2" x14ac:dyDescent="0.2">
      <c r="A2164" s="1" t="s">
        <v>4126</v>
      </c>
      <c r="B2164" s="1" t="str">
        <f ca="1">IFERROR(__xludf.DUMFUNCTION("GOOGLETRANSLATE(A2228,""id"",""en"")"),"samsat already online just match  apps to match the JT car tax car tax data on using the JT tax fair tax")</f>
        <v>samsat already online just match  apps to match the JT car tax car tax data on using the JT tax fair tax</v>
      </c>
    </row>
    <row r="2165" spans="1:2" x14ac:dyDescent="0.2">
      <c r="A2165" s="1" t="s">
        <v>3948</v>
      </c>
      <c r="B2165" s="1" t="str">
        <f ca="1">IFERROR(__xludf.DUMFUNCTION("GOOGLETRANSLATE(A2229,""id"",""en"")"),"buy pertalite using  simultaneously in September specifically Java")</f>
        <v>buy pertalite using  simultaneously in September specifically Java</v>
      </c>
    </row>
    <row r="2166" spans="1:2" x14ac:dyDescent="0.2">
      <c r="A2166" s="1" t="s">
        <v>4127</v>
      </c>
      <c r="B2166" s="1" t="str">
        <f ca="1">IFERROR(__xludf.DUMFUNCTION("GOOGLETRANSLATE(A2230,""id"",""en"")")," Buy Pertalite Smartphone Wisely Buy Fuel Fuel Subsidies Subsidized Digital Critical Applications Very Energy Consumer Institution Loss Group")</f>
        <v xml:space="preserve"> Buy Pertalite Smartphone Wisely Buy Fuel Fuel Subsidies Subsidized Digital Critical Applications Very Energy Consumer Institution Loss Group</v>
      </c>
    </row>
    <row r="2167" spans="1:2" x14ac:dyDescent="0.2">
      <c r="A2167" s="1" t="s">
        <v>4128</v>
      </c>
      <c r="B2167" s="1" t="str">
        <f ca="1">IFERROR(__xludf.DUMFUNCTION("GOOGLETRANSLATE(A2231,""id"",""en"")"),"For the  application, the requirement for buying pertalite mamit, I am runding,  Patra Niaga, the  application, Consumer Data Bas Website accommodates buying Pertalite")</f>
        <v>For the  application, the requirement for buying pertalite mamit, I am runding,  Patra Niaga, the  application, Consumer Data Bas Website accommodates buying Pertalite</v>
      </c>
    </row>
    <row r="2168" spans="1:2" x14ac:dyDescent="0.2">
      <c r="A2168" s="1" t="s">
        <v>4129</v>
      </c>
      <c r="B2168" s="1" t="str">
        <f ca="1">IFERROR(__xludf.DUMFUNCTION("GOOGLETRANSLATE(A2232,""id"",""en"")"),"Forced Uninstal Ghensin Impact Install ")</f>
        <v xml:space="preserve">Forced Uninstal Ghensin Impact Install </v>
      </c>
    </row>
    <row r="2169" spans="1:2" x14ac:dyDescent="0.2">
      <c r="A2169" s="1" t="s">
        <v>124</v>
      </c>
      <c r="B2169" s="1" t="str">
        <f ca="1">IFERROR(__xludf.DUMFUNCTION("GOOGLETRANSLATE(A2233,""id"",""en"")"),"That's it")</f>
        <v>That's it</v>
      </c>
    </row>
    <row r="2170" spans="1:2" x14ac:dyDescent="0.2">
      <c r="A2170" s="1" t="s">
        <v>4130</v>
      </c>
      <c r="B2170" s="1" t="str">
        <f ca="1">IFERROR(__xludf.DUMFUNCTION("GOOGLETRANSLATE(A2234,""id"",""en"")"),"Fortunately, the efficient payment of  applications")</f>
        <v>Fortunately, the efficient payment of  applications</v>
      </c>
    </row>
    <row r="2171" spans="1:2" x14ac:dyDescent="0.2">
      <c r="A2171" s="1" t="s">
        <v>4131</v>
      </c>
      <c r="B2171" s="1" t="str">
        <f ca="1">IFERROR(__xludf.DUMFUNCTION("GOOGLETRANSLATE(A2235,""id"",""en"")"),"Yesterday, I tried the Bright Gas Kg  Sentamina Sentamina")</f>
        <v>Yesterday, I tried the Bright Gas Kg  Sentamina Sentamina</v>
      </c>
    </row>
    <row r="2172" spans="1:2" x14ac:dyDescent="0.2">
      <c r="A2172" s="1" t="s">
        <v>4132</v>
      </c>
      <c r="B2172" s="1" t="str">
        <f ca="1">IFERROR(__xludf.DUMFUNCTION("GOOGLETRANSLATE(A2236,""id"",""en"")")," The Border of Banten")</f>
        <v xml:space="preserve"> The Border of Banten</v>
      </c>
    </row>
    <row r="2173" spans="1:2" x14ac:dyDescent="0.2">
      <c r="A2173" s="1" t="s">
        <v>125</v>
      </c>
      <c r="B2173" s="1" t="str">
        <f ca="1">IFERROR(__xludf.DUMFUNCTION("GOOGLETRANSLATE(A2237,""id"",""en"")"),"House Commission VII Member Sartono Hutomo hopes that the wise community is fuel consumption of fuel oil subsidized types of Tempobusiness Pertalite Solar")</f>
        <v>House Commission VII Member Sartono Hutomo hopes that the wise community is fuel consumption of fuel oil subsidized types of Tempobusiness Pertalite Solar</v>
      </c>
    </row>
    <row r="2174" spans="1:2" x14ac:dyDescent="0.2">
      <c r="A2174" s="1" t="s">
        <v>3398</v>
      </c>
      <c r="B2174" s="1" t="str">
        <f ca="1">IFERROR(__xludf.DUMFUNCTION("GOOGLETRANSLATE(A2238,""id"",""en"")"),"Officially Must Use the  Play Store Store Application")</f>
        <v>Officially Must Use the  Play Store Store Application</v>
      </c>
    </row>
    <row r="2175" spans="1:2" x14ac:dyDescent="0.2">
      <c r="A2175" s="1" t="s">
        <v>4133</v>
      </c>
      <c r="B2175" s="1" t="str">
        <f ca="1">IFERROR(__xludf.DUMFUNCTION("GOOGLETRANSLATE(A2239,""id"",""en"")"),"Yesterday I tried the Sen Bright Gas Kg  the seller agent did not be responsive to the time cancel automatically tried the call center the agent not responded to the area of ​​the gas house together")</f>
        <v>Yesterday I tried the Sen Bright Gas Kg  the seller agent did not be responsive to the time cancel automatically tried the call center the agent not responded to the area of ​​the gas house together</v>
      </c>
    </row>
    <row r="2176" spans="1:2" x14ac:dyDescent="0.2">
      <c r="A2176" s="1" t="s">
        <v>4134</v>
      </c>
      <c r="B2176" s="1" t="str">
        <f ca="1">IFERROR(__xludf.DUMFUNCTION("GOOGLETRANSLATE(A2240,""id"",""en"")"),"PT  Persero  Patra Niaga must buy fuel fuel fuel subsidized  application")</f>
        <v>PT  Persero  Patra Niaga must buy fuel fuel fuel subsidized  application</v>
      </c>
    </row>
    <row r="2177" spans="1:2" x14ac:dyDescent="0.2">
      <c r="A2177" s="1" t="s">
        <v>4135</v>
      </c>
      <c r="B2177" s="1" t="str">
        <f ca="1">IFERROR(__xludf.DUMFUNCTION("GOOGLETRANSLATE(A2241,""id"",""en"")"),"Buy LPG Kg List News Nusabali  Lpg ")</f>
        <v xml:space="preserve">Buy LPG Kg List News Nusabali  Lpg </v>
      </c>
    </row>
    <row r="2178" spans="1:2" x14ac:dyDescent="0.2">
      <c r="A2178" s="1" t="s">
        <v>4136</v>
      </c>
      <c r="B2178" s="1" t="str">
        <f ca="1">IFERROR(__xludf.DUMFUNCTION("GOOGLETRANSLATE(A2242,""id"",""en"")"),"The coordinates of Allah are very exciting,  hahahahaa")</f>
        <v>The coordinates of Allah are very exciting,  hahahahaa</v>
      </c>
    </row>
    <row r="2179" spans="1:2" x14ac:dyDescent="0.2">
      <c r="A2179" s="1" t="s">
        <v>4137</v>
      </c>
      <c r="B2179" s="1" t="str">
        <f ca="1">IFERROR(__xludf.DUMFUNCTION("GOOGLETRANSLATE(A2243,""id"",""en"")"),"oalah so to yowis kui neat adik adewe lan konco melu ros og yo not forced to banggo  cah cah ngono may weight in the name of people")</f>
        <v>oalah so to yowis kui neat adik adewe lan konco melu ros og yo not forced to banggo  cah cah ngono may weight in the name of people</v>
      </c>
    </row>
    <row r="2180" spans="1:2" x14ac:dyDescent="0.2">
      <c r="A2180" s="1" t="s">
        <v>4138</v>
      </c>
      <c r="B2180" s="1" t="str">
        <f ca="1">IFERROR(__xludf.DUMFUNCTION("GOOGLETRANSLATE(A2244,""id"",""en"")"),"the petition failed to use  apk")</f>
        <v>the petition failed to use  apk</v>
      </c>
    </row>
    <row r="2181" spans="1:2" x14ac:dyDescent="0.2">
      <c r="A2181" s="1" t="s">
        <v>4139</v>
      </c>
      <c r="B2181" s="1" t="str">
        <f ca="1">IFERROR(__xludf.DUMFUNCTION("GOOGLETRANSLATE(A2245,""id"",""en"")"),"Wise BUY BUY BBM SUBSIDI  REVISION SUPPLEMENT OF THE PRESIDENT NUMBERS OF SALE SALE PRICE DISTRIBUTION")</f>
        <v>Wise BUY BUY BBM SUBSIDI  REVISION SUPPLEMENT OF THE PRESIDENT NUMBERS OF SALE SALE PRICE DISTRIBUTION</v>
      </c>
    </row>
    <row r="2182" spans="1:2" x14ac:dyDescent="0.2">
      <c r="A2182" s="1" t="s">
        <v>4140</v>
      </c>
      <c r="B2182" s="1" t="str">
        <f ca="1">IFERROR(__xludf.DUMFUNCTION("GOOGLETRANSLATE(A2246,""id"",""en"")"),"'s task is encouraged to be proof of  access proof of QR Code")</f>
        <v>'s task is encouraged to be proof of  access proof of QR Code</v>
      </c>
    </row>
    <row r="2183" spans="1:2" x14ac:dyDescent="0.2">
      <c r="A2183" s="1" t="s">
        <v>4141</v>
      </c>
      <c r="B2183" s="1" t="str">
        <f ca="1">IFERROR(__xludf.DUMFUNCTION("GOOGLETRANSLATE(A2247,""id"",""en"")"),"duh  isn't that I'm a wifi only child")</f>
        <v>duh  isn't that I'm a wifi only child</v>
      </c>
    </row>
    <row r="2184" spans="1:2" x14ac:dyDescent="0.2">
      <c r="A2184" s="1" t="s">
        <v>4142</v>
      </c>
      <c r="B2184" s="1" t="str">
        <f ca="1">IFERROR(__xludf.DUMFUNCTION("GOOGLETRANSLATE(A2248,""id"",""en"")"),"Bismillah I hope   employee")</f>
        <v>Bismillah I hope   employee</v>
      </c>
    </row>
    <row r="2185" spans="1:2" x14ac:dyDescent="0.2">
      <c r="A2185" s="1" t="s">
        <v>986</v>
      </c>
      <c r="B2185" s="1" t="str">
        <f ca="1">IFERROR(__xludf.DUMFUNCTION("GOOGLETRANSLATE(A2249,""id"",""en"")"),"wisely misguided poor people forced smart phones to buy LPG gas kg from buying a cellphone mending to buy rice to eat using used wood just please please press ")</f>
        <v xml:space="preserve">wisely misguided poor people forced smart phones to buy LPG gas kg from buying a cellphone mending to buy rice to eat using used wood just please please press </v>
      </c>
    </row>
    <row r="2186" spans="1:2" x14ac:dyDescent="0.2">
      <c r="A2186" s="1" t="s">
        <v>4143</v>
      </c>
      <c r="B2186" s="1" t="str">
        <f ca="1">IFERROR(__xludf.DUMFUNCTION("GOOGLETRANSLATE(A2250,""id"",""en"")"),"Instagram Discuss the  Twitter application discussed HWS Bhaikkkk")</f>
        <v>Instagram Discuss the  Twitter application discussed HWS Bhaikkkk</v>
      </c>
    </row>
    <row r="2187" spans="1:2" x14ac:dyDescent="0.2">
      <c r="A2187" s="1" t="s">
        <v>4144</v>
      </c>
      <c r="B2187" s="1" t="str">
        <f ca="1">IFERROR(__xludf.DUMFUNCTION("GOOGLETRANSLATE(A2251,""id"",""en"")"),"people who give  vertamina idea, hope the hot mattress pillow is")</f>
        <v>people who give  vertamina idea, hope the hot mattress pillow is</v>
      </c>
    </row>
    <row r="2188" spans="1:2" x14ac:dyDescent="0.2">
      <c r="A2188" s="1" t="s">
        <v>4145</v>
      </c>
      <c r="B2188" s="1" t="str">
        <f ca="1">IFERROR(__xludf.DUMFUNCTION("GOOGLETRANSLATE(A2252,""id"",""en"")"),"LPG Sasar Command of Silent Test Silence Using the  Application")</f>
        <v>LPG Sasar Command of Silent Test Silence Using the  Application</v>
      </c>
    </row>
    <row r="2189" spans="1:2" x14ac:dyDescent="0.2">
      <c r="A2189" s="1" t="s">
        <v>4146</v>
      </c>
      <c r="B2189" s="1" t="str">
        <f ca="1">IFERROR(__xludf.DUMFUNCTION("GOOGLETRANSLATE(A2253,""id"",""en"")"),"Buy Pertalite Solar Mandatory  Sigit wisely confused")</f>
        <v>Buy Pertalite Solar Mandatory  Sigit wisely confused</v>
      </c>
    </row>
    <row r="2190" spans="1:2" x14ac:dyDescent="0.2">
      <c r="A2190" s="1" t="s">
        <v>4147</v>
      </c>
      <c r="B2190" s="1" t="str">
        <f ca="1">IFERROR(__xludf.DUMFUNCTION("GOOGLETRANSLATE(A2254,""id"",""en"")")," Application Buy Pertalite Solar July Via")</f>
        <v xml:space="preserve"> Application Buy Pertalite Solar July Via</v>
      </c>
    </row>
    <row r="2191" spans="1:2" x14ac:dyDescent="0.2">
      <c r="A2191" s="1" t="s">
        <v>4148</v>
      </c>
      <c r="B2191" s="1" t="str">
        <f ca="1">IFERROR(__xludf.DUMFUNCTION("GOOGLETRANSLATE(A2255,""id"",""en"")"),"Please read this so that you can show QR Code Buy Solar Pertalite must use the  SPBU application")</f>
        <v>Please read this so that you can show QR Code Buy Solar Pertalite must use the  SPBU application</v>
      </c>
    </row>
    <row r="2192" spans="1:2" x14ac:dyDescent="0.2">
      <c r="A2192" s="1" t="s">
        <v>4149</v>
      </c>
      <c r="B2192" s="1" t="str">
        <f ca="1">IFERROR(__xludf.DUMFUNCTION("GOOGLETRANSLATE(A2256,""id"",""en"")")," application innovation identification of Salang BBM subsidies")</f>
        <v xml:space="preserve"> application innovation identification of Salang BBM subsidies</v>
      </c>
    </row>
    <row r="2193" spans="1:2" x14ac:dyDescent="0.2">
      <c r="A2193" s="1" t="s">
        <v>4150</v>
      </c>
      <c r="B2193" s="1" t="str">
        <f ca="1">IFERROR(__xludf.DUMFUNCTION("GOOGLETRANSLATE(A2257,""id"",""en"")"),"buy subsidized LPG gas using ")</f>
        <v xml:space="preserve">buy subsidized LPG gas using </v>
      </c>
    </row>
    <row r="2194" spans="1:2" x14ac:dyDescent="0.2">
      <c r="A2194" s="1" t="s">
        <v>4151</v>
      </c>
      <c r="B2194" s="1" t="str">
        <f ca="1">IFERROR(__xludf.DUMFUNCTION("GOOGLETRANSLATE(A2258,""id"",""en"")")," gas station is a sarcastic advertisement")</f>
        <v xml:space="preserve"> gas station is a sarcastic advertisement</v>
      </c>
    </row>
    <row r="2195" spans="1:2" x14ac:dyDescent="0.2">
      <c r="A2195" s="1" t="s">
        <v>4152</v>
      </c>
      <c r="B2195" s="1" t="str">
        <f ca="1">IFERROR(__xludf.DUMFUNCTION("GOOGLETRANSLATE(A2259,""id"",""en"")"),"MUST INSTALL  APPLICATION")</f>
        <v>MUST INSTALL  APPLICATION</v>
      </c>
    </row>
    <row r="2196" spans="1:2" x14ac:dyDescent="0.2">
      <c r="A2196" s="1" t="s">
        <v>4153</v>
      </c>
      <c r="B2196" s="1" t="str">
        <f ca="1">IFERROR(__xludf.DUMFUNCTION("GOOGLETRANSLATE(A2260,""id"",""en"")"),"Install the CCTV task not cheating, the contents of the luxury car don't need to make people bother using  amp mnt netizens who are cheating for the video now for advanced times.")</f>
        <v>Install the CCTV task not cheating, the contents of the luxury car don't need to make people bother using  amp mnt netizens who are cheating for the video now for advanced times.</v>
      </c>
    </row>
    <row r="2197" spans="1:2" x14ac:dyDescent="0.2">
      <c r="A2197" s="1" t="s">
        <v>4152</v>
      </c>
      <c r="B2197" s="1" t="str">
        <f ca="1">IFERROR(__xludf.DUMFUNCTION("GOOGLETRANSLATE(A2261,""id"",""en"")"),"MUST INSTALL  APPLICATION")</f>
        <v>MUST INSTALL  APPLICATION</v>
      </c>
    </row>
    <row r="2198" spans="1:2" x14ac:dyDescent="0.2">
      <c r="A2198" s="1" t="s">
        <v>4154</v>
      </c>
      <c r="B2198" s="1" t="str">
        <f ca="1">IFERROR(__xludf.DUMFUNCTION("GOOGLETRANSLATE(A2262,""id"",""en"")"),"Buy BBM Pertalite Solar Gas Station using ")</f>
        <v xml:space="preserve">Buy BBM Pertalite Solar Gas Station using </v>
      </c>
    </row>
    <row r="2199" spans="1:2" x14ac:dyDescent="0.2">
      <c r="A2199" s="1" t="s">
        <v>4155</v>
      </c>
      <c r="B2199" s="1" t="str">
        <f ca="1">IFERROR(__xludf.DUMFUNCTION("GOOGLETRANSLATE(A2263,""id"",""en"")"),"orders from the body set downstream natural gas oil BPH oil and gas push for the application  buying fuel type pertalite solar is said to be news of the boundary")</f>
        <v>orders from the body set downstream natural gas oil BPH oil and gas push for the application  buying fuel type pertalite solar is said to be news of the boundary</v>
      </c>
    </row>
    <row r="2200" spans="1:2" x14ac:dyDescent="0.2">
      <c r="A2200" s="1" t="s">
        <v>4156</v>
      </c>
      <c r="B2200" s="1" t="str">
        <f ca="1">IFERROR(__xludf.DUMFUNCTION("GOOGLETRANSLATE(A2264,""id"",""en"")"),"the public List of the  Website Application Management Confirmation Kendara List of Pertalite Solar Rights List of Infomoga  Pertalite")</f>
        <v>the public List of the  Website Application Management Confirmation Kendara List of Pertalite Solar Rights List of Infomoga  Pertalite</v>
      </c>
    </row>
    <row r="2201" spans="1:2" x14ac:dyDescent="0.2">
      <c r="A2201" s="1" t="s">
        <v>4157</v>
      </c>
      <c r="B2201" s="1" t="str">
        <f ca="1">IFERROR(__xludf.DUMFUNCTION("GOOGLETRANSLATE(A2265,""id"",""en"")"),"simple not complicated using , yes, the solution to fill in Pertamax")</f>
        <v>simple not complicated using , yes, the solution to fill in Pertamax</v>
      </c>
    </row>
    <row r="2202" spans="1:2" x14ac:dyDescent="0.2">
      <c r="A2202" s="1" t="s">
        <v>4158</v>
      </c>
      <c r="B2202" s="1" t="str">
        <f ca="1">IFERROR(__xludf.DUMFUNCTION("GOOGLETRANSLATE(A2266,""id"",""en"")"),"there are those who use the  application, read the person who has installed the application that the application is connected to the link application to pay the transaction transaction of the Rp.")</f>
        <v>there are those who use the  application, read the person who has installed the application that the application is connected to the link application to pay the transaction transaction of the Rp.</v>
      </c>
    </row>
    <row r="2203" spans="1:2" x14ac:dyDescent="0.2">
      <c r="A2203" s="1" t="s">
        <v>4159</v>
      </c>
      <c r="B2203" s="1" t="str">
        <f ca="1">IFERROR(__xludf.DUMFUNCTION("GOOGLETRANSLATE(A2267,""id"",""en"")"),"Fake  Application Examples of Abal Abal Abal   Popular BeritaTerkini Beritajakarta")</f>
        <v>Fake  Application Examples of Abal Abal Abal   Popular BeritaTerkini Beritajakarta</v>
      </c>
    </row>
    <row r="2204" spans="1:2" x14ac:dyDescent="0.2">
      <c r="A2204" s="1" t="s">
        <v>4160</v>
      </c>
      <c r="B2204" s="1" t="str">
        <f ca="1">IFERROR(__xludf.DUMFUNCTION("GOOGLETRANSLATE(A2268,""id"",""en"")"),"BBM Buy Gas Melon  Application Netizens Set Stupid")</f>
        <v>BBM Buy Gas Melon  Application Netizens Set Stupid</v>
      </c>
    </row>
    <row r="2205" spans="1:2" x14ac:dyDescent="0.2">
      <c r="A2205" s="1" t="s">
        <v>4161</v>
      </c>
      <c r="B2205" s="1" t="str">
        <f ca="1">IFERROR(__xludf.DUMFUNCTION("GOOGLETRANSLATE(A2269,""id"",""en"")"),"Forced Uninstall Spotify so that the  Protection Care Room")</f>
        <v>Forced Uninstall Spotify so that the  Protection Care Room</v>
      </c>
    </row>
    <row r="2206" spans="1:2" x14ac:dyDescent="0.2">
      <c r="A2206" s="1" t="s">
        <v>4162</v>
      </c>
      <c r="B2206" s="1" t="str">
        <f ca="1">IFERROR(__xludf.DUMFUNCTION("GOOGLETRANSLATE(A2270,""id"",""en"")"),"Hayooo donk sister loves to give a playstore  star")</f>
        <v>Hayooo donk sister loves to give a playstore  star</v>
      </c>
    </row>
    <row r="2207" spans="1:2" x14ac:dyDescent="0.2">
      <c r="A2207" s="1" t="s">
        <v>4163</v>
      </c>
      <c r="B2207" s="1" t="str">
        <f ca="1">IFERROR(__xludf.DUMFUNCTION("GOOGLETRANSLATE(A2271,""id"",""en"")"),"YLKI Considering Chaos Potential Consumer Swimming Task Task The Task SPBU BUY PERTALITE SOLAR  APPLICATION")</f>
        <v>YLKI Considering Chaos Potential Consumer Swimming Task Task The Task SPBU BUY PERTALITE SOLAR  APPLICATION</v>
      </c>
    </row>
    <row r="2208" spans="1:2" x14ac:dyDescent="0.2">
      <c r="A2208" s="1" t="s">
        <v>4164</v>
      </c>
      <c r="B2208" s="1" t="str">
        <f ca="1">IFERROR(__xludf.DUMFUNCTION("GOOGLETRANSLATE(A2272,""id"",""en"")"),"Excuse me, the hobby of the  application, the mandatory field")</f>
        <v>Excuse me, the hobby of the  application, the mandatory field</v>
      </c>
    </row>
    <row r="2209" spans="1:2" x14ac:dyDescent="0.2">
      <c r="A2209" s="1" t="s">
        <v>4165</v>
      </c>
      <c r="B2209" s="1" t="str">
        <f ca="1">IFERROR(__xludf.DUMFUNCTION("GOOGLETRANSLATE(A2273,""id"",""en"")")," is the base of the  trial tomorrow")</f>
        <v xml:space="preserve"> is the base of the  trial tomorrow</v>
      </c>
    </row>
    <row r="2210" spans="1:2" x14ac:dyDescent="0.2">
      <c r="A2210" s="1" t="s">
        <v>4166</v>
      </c>
      <c r="B2210" s="1" t="str">
        <f ca="1">IFERROR(__xludf.DUMFUNCTION("GOOGLETRANSLATE(A2274,""id"",""en"")"),"Arrange Difficult People Using the  People's Application Difficult Space Come on Opponent Using the  Application")</f>
        <v>Arrange Difficult People Using the  People's Application Difficult Space Come on Opponent Using the  Application</v>
      </c>
    </row>
    <row r="2211" spans="1:2" x14ac:dyDescent="0.2">
      <c r="A2211" s="1" t="s">
        <v>4167</v>
      </c>
      <c r="B2211" s="1" t="str">
        <f ca="1">IFERROR(__xludf.DUMFUNCTION("GOOGLETRANSLATE(A2275,""id"",""en"")"),"Hayooo, om, I am crowded with the Playstore  star")</f>
        <v>Hayooo, om, I am crowded with the Playstore  star</v>
      </c>
    </row>
    <row r="2212" spans="1:2" x14ac:dyDescent="0.2">
      <c r="A2212" s="1" t="s">
        <v>4168</v>
      </c>
      <c r="B2212" s="1" t="str">
        <f ca="1">IFERROR(__xludf.DUMFUNCTION("GOOGLETRANSLATE(A2276,""id"",""en"")"),"Just waiting for Bang Brando Namatin ")</f>
        <v xml:space="preserve">Just waiting for Bang Brando Namatin </v>
      </c>
    </row>
    <row r="2213" spans="1:2" x14ac:dyDescent="0.2">
      <c r="A2213" s="1" t="s">
        <v>4169</v>
      </c>
      <c r="B2213" s="1" t="str">
        <f ca="1">IFERROR(__xludf.DUMFUNCTION("GOOGLETRANSLATE(A2277,""id"",""en"")")," BUGTAMINA")</f>
        <v xml:space="preserve"> BUGTAMINA</v>
      </c>
    </row>
    <row r="2214" spans="1:2" x14ac:dyDescent="0.2">
      <c r="A2214" s="1" t="s">
        <v>4170</v>
      </c>
      <c r="B2214" s="1" t="str">
        <f ca="1">IFERROR(__xludf.DUMFUNCTION("GOOGLETRANSLATE(A2278,""id"",""en"")"),"Hayooo, please, I love the Playstore  star")</f>
        <v>Hayooo, please, I love the Playstore  star</v>
      </c>
    </row>
    <row r="2215" spans="1:2" x14ac:dyDescent="0.2">
      <c r="A2215" s="1" t="s">
        <v>126</v>
      </c>
      <c r="B2215" s="1" t="str">
        <f ca="1">IFERROR(__xludf.DUMFUNCTION("GOOGLETRANSLATE(A2279,""id"",""en"")"),"just make a down to know")</f>
        <v>just make a down to know</v>
      </c>
    </row>
    <row r="2216" spans="1:2" x14ac:dyDescent="0.2">
      <c r="A2216" s="1" t="s">
        <v>4171</v>
      </c>
      <c r="B2216" s="1" t="str">
        <f ca="1">IFERROR(__xludf.DUMFUNCTION("GOOGLETRANSLATE(A2280,""id"",""en"")"),"Automatically the key system for the fuel allocation subsidized for the list of  applications is more consumption quota")</f>
        <v>Automatically the key system for the fuel allocation subsidized for the list of  applications is more consumption quota</v>
      </c>
    </row>
    <row r="2217" spans="1:2" x14ac:dyDescent="0.2">
      <c r="A2217" s="1" t="s">
        <v>4172</v>
      </c>
      <c r="B2217" s="1" t="str">
        <f ca="1">IFERROR(__xludf.DUMFUNCTION("GOOGLETRANSLATE(A2281,""id"",""en"")"),"Criteria for Receiving BBM Subsidies Identification of Kendara Plate Number Keat Kendara Numbers must be a list of  applications")</f>
        <v>Criteria for Receiving BBM Subsidies Identification of Kendara Plate Number Keat Kendara Numbers must be a list of  applications</v>
      </c>
    </row>
    <row r="2218" spans="1:2" x14ac:dyDescent="0.2">
      <c r="A2218" s="1" t="s">
        <v>4173</v>
      </c>
      <c r="B2218" s="1" t="str">
        <f ca="1">IFERROR(__xludf.DUMFUNCTION("GOOGLETRANSLATE(A2282,""id"",""en"")"),"Hayooo, please, it's busy, it's fun to love the Playstore  star")</f>
        <v>Hayooo, please, it's busy, it's fun to love the Playstore  star</v>
      </c>
    </row>
    <row r="2219" spans="1:2" x14ac:dyDescent="0.2">
      <c r="A2219" s="1" t="s">
        <v>4174</v>
      </c>
      <c r="B2219" s="1" t="str">
        <f ca="1">IFERROR(__xludf.DUMFUNCTION("GOOGLETRANSLATE(A2283,""id"",""en"")"),"Premium Deleting Buy Pertalite Not complicated Paying cash transactions Cash you have to smartphone must understand using , you have to balance the Linkaja square, you have different cases")</f>
        <v>Premium Deleting Buy Pertalite Not complicated Paying cash transactions Cash you have to smartphone must understand using , you have to balance the Linkaja square, you have different cases</v>
      </c>
    </row>
    <row r="2220" spans="1:2" x14ac:dyDescent="0.2">
      <c r="A2220" s="1" t="s">
        <v>4175</v>
      </c>
      <c r="B2220" s="1" t="str">
        <f ca="1">IFERROR(__xludf.DUMFUNCTION("GOOGLETRANSLATE(A2284,""id"",""en"")"),"Mabok Ajig  The login button Na doesn't throw ulg events meuli gasoline using non")</f>
        <v>Mabok Ajig  The login button Na doesn't throw ulg events meuli gasoline using non</v>
      </c>
    </row>
    <row r="2221" spans="1:2" x14ac:dyDescent="0.2">
      <c r="A2221" s="1" t="s">
        <v>4176</v>
      </c>
      <c r="B2221" s="1" t="str">
        <f ca="1">IFERROR(__xludf.DUMFUNCTION("GOOGLETRANSLATE(A2285,""id"",""en"")"),"buy fuel subsidies for  gas station applications")</f>
        <v>buy fuel subsidies for  gas station applications</v>
      </c>
    </row>
    <row r="2222" spans="1:2" x14ac:dyDescent="0.2">
      <c r="A2222" s="1" t="s">
        <v>4177</v>
      </c>
      <c r="B2222" s="1" t="str">
        <f ca="1">IFERROR(__xludf.DUMFUNCTION("GOOGLETRANSLATE(A2286,""id"",""en"")"),"Plan for buying fuel for fuel oil fuel type solar applications  repairing pros and cons of the community")</f>
        <v>Plan for buying fuel for fuel oil fuel type solar applications  repairing pros and cons of the community</v>
      </c>
    </row>
    <row r="2223" spans="1:2" x14ac:dyDescent="0.2">
      <c r="A2223" s="1" t="s">
        <v>4177</v>
      </c>
      <c r="B2223" s="1" t="str">
        <f ca="1">IFERROR(__xludf.DUMFUNCTION("GOOGLETRANSLATE(A2287,""id"",""en"")"),"Plan for buying fuel for fuel oil fuel type solar applications  repairing pros and cons of the community")</f>
        <v>Plan for buying fuel for fuel oil fuel type solar applications  repairing pros and cons of the community</v>
      </c>
    </row>
    <row r="2224" spans="1:2" x14ac:dyDescent="0.2">
      <c r="A2224" s="1" t="s">
        <v>4178</v>
      </c>
      <c r="B2224" s="1" t="str">
        <f ca="1">IFERROR(__xludf.DUMFUNCTION("GOOGLETRANSLATE(A2288,""id"",""en"")"),"the big data consultant for the digitalization of  is output for the  Ngontamina BBM subsidized application")</f>
        <v>the big data consultant for the digitalization of  is output for the  Ngontamina BBM subsidized application</v>
      </c>
    </row>
    <row r="2225" spans="1:2" x14ac:dyDescent="0.2">
      <c r="A2225" s="1" t="s">
        <v>4179</v>
      </c>
      <c r="B2225" s="1" t="str">
        <f ca="1">IFERROR(__xludf.DUMFUNCTION("GOOGLETRANSLATE(A2289,""id"",""en"")"),"Kendara Criteria Buy Pertalite Solar Using  ApplicationPtamina")</f>
        <v>Kendara Criteria Buy Pertalite Solar Using  ApplicationPtamina</v>
      </c>
    </row>
    <row r="2226" spans="1:2" x14ac:dyDescent="0.2">
      <c r="A2226" s="1" t="s">
        <v>4180</v>
      </c>
      <c r="B2226" s="1" t="str">
        <f ca="1">IFERROR(__xludf.DUMFUNCTION("GOOGLETRANSLATE(A2290,""id"",""en"")"),"July Thread Buy Pertalite Solar Mandatory to Use  Application")</f>
        <v>July Thread Buy Pertalite Solar Mandatory to Use  Application</v>
      </c>
    </row>
    <row r="2227" spans="1:2" x14ac:dyDescent="0.2">
      <c r="A2227" s="1" t="s">
        <v>4181</v>
      </c>
      <c r="B2227" s="1" t="str">
        <f ca="1">IFERROR(__xludf.DUMFUNCTION("GOOGLETRANSLATE(A2291,""id"",""en"")")," efforts to prevent luxury fuel consumption subsidies for  application")</f>
        <v xml:space="preserve"> efforts to prevent luxury fuel consumption subsidies for  application</v>
      </c>
    </row>
    <row r="2228" spans="1:2" x14ac:dyDescent="0.2">
      <c r="A2228" s="1" t="s">
        <v>4182</v>
      </c>
      <c r="B2228" s="1" t="str">
        <f ca="1">IFERROR(__xludf.DUMFUNCTION("GOOGLETRANSLATE(A2292,""id"",""en"")"),"City Must Buy  BBM")</f>
        <v>City Must Buy  BBM</v>
      </c>
    </row>
    <row r="2229" spans="1:2" x14ac:dyDescent="0.2">
      <c r="A2229" s="1" t="s">
        <v>4183</v>
      </c>
      <c r="B2229" s="1" t="str">
        <f ca="1">IFERROR(__xludf.DUMFUNCTION("GOOGLETRANSLATE(A2293,""id"",""en"")")," pertamini Sok Modern KTP Lu Noh Photocopy")</f>
        <v xml:space="preserve"> pertamini Sok Modern KTP Lu Noh Photocopy</v>
      </c>
    </row>
    <row r="2230" spans="1:2" x14ac:dyDescent="0.2">
      <c r="A2230" s="1" t="s">
        <v>4184</v>
      </c>
      <c r="B2230" s="1" t="str">
        <f ca="1">IFERROR(__xludf.DUMFUNCTION("GOOGLETRANSLATE(A2294,""id"",""en"")"),"Tuju Guna  minimizes the wrong Salur Salur type BBM subsidies Pertalite Solar. Assess more wheel vehicle with CC engine capacity")</f>
        <v>Tuju Guna  minimizes the wrong Salur Salur type BBM subsidies Pertalite Solar. Assess more wheel vehicle with CC engine capacity</v>
      </c>
    </row>
    <row r="2231" spans="1:2" x14ac:dyDescent="0.2">
      <c r="A2231" s="1" t="s">
        <v>4185</v>
      </c>
      <c r="B2231" s="1" t="str">
        <f ca="1">IFERROR(__xludf.DUMFUNCTION("GOOGLETRANSLATE(A2295,""id"",""en"")"),"Date July Buy BBM Type of Pertalite Solar Application  Wargi Let's sell")</f>
        <v>Date July Buy BBM Type of Pertalite Solar Application  Wargi Let's sell</v>
      </c>
    </row>
    <row r="2232" spans="1:2" x14ac:dyDescent="0.2">
      <c r="A2232" s="1" t="s">
        <v>4186</v>
      </c>
      <c r="B2232" s="1" t="str">
        <f ca="1">IFERROR(__xludf.DUMFUNCTION("GOOGLETRANSLATE(A2296,""id"",""en"")")," Patra Niaga Sub Holding Commercial AMP Trading PT  Persero Trial Saying Selling Pertalite Solar To List 's Website Open July")</f>
        <v xml:space="preserve"> Patra Niaga Sub Holding Commercial AMP Trading PT  Persero Trial Saying Selling Pertalite Solar To List 's Website Open July</v>
      </c>
    </row>
    <row r="2233" spans="1:2" x14ac:dyDescent="0.2">
      <c r="A2233" s="1" t="s">
        <v>3133</v>
      </c>
      <c r="B2233" s="1" t="str">
        <f ca="1">IFERROR(__xludf.DUMFUNCTION("GOOGLETRANSLATE(A2297,""id"",""en"")"),"Buy fuel fuel fuel using  applications Salur BBM Subsidized Sasar")</f>
        <v>Buy fuel fuel fuel using  applications Salur BBM Subsidized Sasar</v>
      </c>
    </row>
    <row r="2234" spans="1:2" x14ac:dyDescent="0.2">
      <c r="A2234" s="1" t="s">
        <v>4187</v>
      </c>
      <c r="B2234" s="1" t="str">
        <f ca="1">IFERROR(__xludf.DUMFUNCTION("GOOGLETRANSLATE(A2298,""id"",""en"")"),"Confused edition of Appeal to Playing Hp When SPBU EH PERTALITE CONTENTS WITH  APPLICATION")</f>
        <v>Confused edition of Appeal to Playing Hp When SPBU EH PERTALITE CONTENTS WITH  APPLICATION</v>
      </c>
    </row>
    <row r="2235" spans="1:2" x14ac:dyDescent="0.2">
      <c r="A2235" s="1" t="s">
        <v>4184</v>
      </c>
      <c r="B2235" s="1" t="str">
        <f ca="1">IFERROR(__xludf.DUMFUNCTION("GOOGLETRANSLATE(A2299,""id"",""en"")"),"Tuju Guna  minimizes the wrong Salur Salur type BBM subsidies Pertalite Solar. Assess more wheel vehicle with CC engine capacity")</f>
        <v>Tuju Guna  minimizes the wrong Salur Salur type BBM subsidies Pertalite Solar. Assess more wheel vehicle with CC engine capacity</v>
      </c>
    </row>
    <row r="2236" spans="1:2" x14ac:dyDescent="0.2">
      <c r="A2236" s="1" t="s">
        <v>4188</v>
      </c>
      <c r="B2236" s="1" t="str">
        <f ca="1">IFERROR(__xludf.DUMFUNCTION("GOOGLETRANSLATE(A2300,""id"",""en"")"),"Buy gasoline gasoline using  paying using the Linkaja Paying Method that is popular Linkaja Public Links.")</f>
        <v>Buy gasoline gasoline using  paying using the Linkaja Paying Method that is popular Linkaja Public Links.</v>
      </c>
    </row>
    <row r="2237" spans="1:2" x14ac:dyDescent="0.2">
      <c r="A2237" s="1" t="s">
        <v>4189</v>
      </c>
      <c r="B2237" s="1" t="str">
        <f ca="1">IFERROR(__xludf.DUMFUNCTION("GOOGLETRANSLATE(A2301,""id"",""en"")"),"wisely buy gasoline using the  application reaping residents' comments wisely")</f>
        <v>wisely buy gasoline using the  application reaping residents' comments wisely</v>
      </c>
    </row>
    <row r="2238" spans="1:2" x14ac:dyDescent="0.2">
      <c r="A2238" s="1" t="s">
        <v>987</v>
      </c>
      <c r="B2238" s="1" t="str">
        <f ca="1">IFERROR(__xludf.DUMFUNCTION("GOOGLETRANSLATE(A2302,""id"",""en"")")," Society Rights by Pertalite Solar List of Website Data")</f>
        <v xml:space="preserve"> Society Rights by Pertalite Solar List of Website Data</v>
      </c>
    </row>
    <row r="2239" spans="1:2" x14ac:dyDescent="0.2">
      <c r="A2239" s="1" t="s">
        <v>4190</v>
      </c>
      <c r="B2239" s="1" t="str">
        <f ca="1">IFERROR(__xludf.DUMFUNCTION("GOOGLETRANSLATE(A2303,""id"",""en"")"),"Remove of complicated buying fuel using narrative apps using  Apps Apps  Shell apps have been used by gas stations to collect points or not")</f>
        <v>Remove of complicated buying fuel using narrative apps using  Apps Apps  Shell apps have been used by gas stations to collect points or not</v>
      </c>
    </row>
    <row r="2240" spans="1:2" x14ac:dyDescent="0.2">
      <c r="A2240" s="1" t="s">
        <v>4191</v>
      </c>
      <c r="B2240" s="1" t="str">
        <f ca="1">IFERROR(__xludf.DUMFUNCTION("GOOGLETRANSLATE(A2304,""id"",""en"")"),"mah if you buy bbm  hp scan qr code hold the task of the gas station subsidy mah tibalik consumer carrying qr code task scan")</f>
        <v>mah if you buy bbm  hp scan qr code hold the task of the gas station subsidy mah tibalik consumer carrying qr code task scan</v>
      </c>
    </row>
    <row r="2241" spans="1:2" x14ac:dyDescent="0.2">
      <c r="A2241" s="1" t="s">
        <v>4192</v>
      </c>
      <c r="B2241" s="1" t="str">
        <f ca="1">IFERROR(__xludf.DUMFUNCTION("GOOGLETRANSLATE(A2305,""id"",""en"")"),"Director of  Patra Niaga Alas The  Application is a requirement for buying a solar pertalite salur type of fuel subsidized Sasar")</f>
        <v>Director of  Patra Niaga Alas The  Application is a requirement for buying a solar pertalite salur type of fuel subsidized Sasar</v>
      </c>
    </row>
    <row r="2242" spans="1:2" x14ac:dyDescent="0.2">
      <c r="A2242" s="1" t="s">
        <v>4193</v>
      </c>
      <c r="B2242" s="1" t="str">
        <f ca="1">IFERROR(__xludf.DUMFUNCTION("GOOGLETRANSLATE(A2306,""id"",""en"")"),"PT  became the  application requirements for buying fuel subsidies from Pertalite Solar")</f>
        <v>PT  became the  application requirements for buying fuel subsidies from Pertalite Solar</v>
      </c>
    </row>
    <row r="2243" spans="1:2" x14ac:dyDescent="0.2">
      <c r="A2243" s="1" t="s">
        <v>988</v>
      </c>
      <c r="B2243" s="1" t="str">
        <f ca="1">IFERROR(__xludf.DUMFUNCTION("GOOGLETRANSLATE(A2307,""id"",""en"")"),"PT  Persero is tight buying LPG Kg strictly buying mandatory buying")</f>
        <v>PT  Persero is tight buying LPG Kg strictly buying mandatory buying</v>
      </c>
    </row>
    <row r="2244" spans="1:2" x14ac:dyDescent="0.2">
      <c r="A2244" s="1" t="s">
        <v>4194</v>
      </c>
      <c r="B2244" s="1" t="str">
        <f ca="1">IFERROR(__xludf.DUMFUNCTION("GOOGLETRANSLATE(A2308,""id"",""en"")"),"Forbidding Mobile Gas Station Transaction Using  App")</f>
        <v>Forbidding Mobile Gas Station Transaction Using  App</v>
      </c>
    </row>
    <row r="2245" spans="1:2" x14ac:dyDescent="0.2">
      <c r="A2245" s="1" t="s">
        <v>127</v>
      </c>
      <c r="B2245" s="1" t="str">
        <f ca="1">IFERROR(__xludf.DUMFUNCTION("GOOGLETRANSLATE(A2309,""id"",""en"")"),"Padang City Fighting Trial of Agam Regency, Tanah Datar Regency, Bandung City, Sukabumi City, Tasikmalaya City, Ciamis Regency, Banjarmasin City, Yogyakarta City, Manado, Manado Moga is safe")</f>
        <v>Padang City Fighting Trial of Agam Regency, Tanah Datar Regency, Bandung City, Sukabumi City, Tasikmalaya City, Ciamis Regency, Banjarmasin City, Yogyakarta City, Manado, Manado Moga is safe</v>
      </c>
    </row>
    <row r="2246" spans="1:2" x14ac:dyDescent="0.2">
      <c r="A2246" s="1" t="s">
        <v>4195</v>
      </c>
      <c r="B2246" s="1" t="str">
        <f ca="1">IFERROR(__xludf.DUMFUNCTION("GOOGLETRANSLATE(A2310,""id"",""en"")")," is better to recruit rather than making a  app.")</f>
        <v xml:space="preserve"> is better to recruit rather than making a  app.</v>
      </c>
    </row>
    <row r="2247" spans="1:2" x14ac:dyDescent="0.2">
      <c r="A2247" s="1" t="s">
        <v>4196</v>
      </c>
      <c r="B2247" s="1" t="str">
        <f ca="1">IFERROR(__xludf.DUMFUNCTION("GOOGLETRANSLATE(A2311,""id"",""en"")"),"if  appears QR Code Blue Box Subsidies Tepar Tomorrow")</f>
        <v>if  appears QR Code Blue Box Subsidies Tepar Tomorrow</v>
      </c>
    </row>
    <row r="2248" spans="1:2" x14ac:dyDescent="0.2">
      <c r="A2248" s="1" t="s">
        <v>4197</v>
      </c>
      <c r="B2248" s="1" t="str">
        <f ca="1">IFERROR(__xludf.DUMFUNCTION("GOOGLETRANSLATE(A2312,""id"",""en"")"),"already apk  kgk lg list gin websites, bro")</f>
        <v>already apk  kgk lg list gin websites, bro</v>
      </c>
    </row>
    <row r="2249" spans="1:2" x14ac:dyDescent="0.2">
      <c r="A2249" s="1" t="s">
        <v>4198</v>
      </c>
      <c r="B2249" s="1" t="str">
        <f ca="1">IFERROR(__xludf.DUMFUNCTION("GOOGLETRANSLATE(A2313,""id"",""en"")"),"Copotmenteridongok entered the mall, if you protect the scan, check the temperature, the temperature check the queue if I queued the task not to pay attention")</f>
        <v>Copotmenteridongok entered the mall, if you protect the scan, check the temperature, the temperature check the queue if I queued the task not to pay attention</v>
      </c>
    </row>
    <row r="2250" spans="1:2" x14ac:dyDescent="0.2">
      <c r="A2250" s="1" t="s">
        <v>4199</v>
      </c>
      <c r="B2250" s="1" t="str">
        <f ca="1">IFERROR(__xludf.DUMFUNCTION("GOOGLETRANSLATE(A2314,""id"",""en"")"),"Buy cooking oil using protested protection to buy pertalite using  that is not cellphone how not to buy seriously it's easy to be difficult")</f>
        <v>Buy cooking oil using protested protection to buy pertalite using  that is not cellphone how not to buy seriously it's easy to be difficult</v>
      </c>
    </row>
    <row r="2251" spans="1:2" x14ac:dyDescent="0.2">
      <c r="A2251" s="1" t="s">
        <v>4200</v>
      </c>
      <c r="B2251" s="1" t="str">
        <f ca="1">IFERROR(__xludf.DUMFUNCTION("GOOGLETRANSLATE(A2315,""id"",""en"")"),"for solar subsidies list of  applications Set the basis of the presidential number available distribution of selling prices of fuel oil")</f>
        <v>for solar subsidies list of  applications Set the basis of the presidential number available distribution of selling prices of fuel oil</v>
      </c>
    </row>
    <row r="2252" spans="1:2" x14ac:dyDescent="0.2">
      <c r="A2252" s="1" t="s">
        <v>4201</v>
      </c>
      <c r="B2252" s="1" t="str">
        <f ca="1">IFERROR(__xludf.DUMFUNCTION("GOOGLETRANSLATE(A2316,""id"",""en"")"),"the area of ​​therapy testing trials to buy BBM using the  July application")</f>
        <v>the area of ​​therapy testing trials to buy BBM using the  July application</v>
      </c>
    </row>
    <row r="2253" spans="1:2" x14ac:dyDescent="0.2">
      <c r="A2253" s="1" t="s">
        <v>4016</v>
      </c>
      <c r="B2253" s="1" t="str">
        <f ca="1">IFERROR(__xludf.DUMFUNCTION("GOOGLETRANSLATE(A2317,""id"",""en"")"),"buy fuel subsidies  led Commission VII Solution")</f>
        <v>buy fuel subsidies  led Commission VII Solution</v>
      </c>
    </row>
    <row r="2254" spans="1:2" x14ac:dyDescent="0.2">
      <c r="A2254" s="1" t="s">
        <v>128</v>
      </c>
      <c r="B2254" s="1" t="str">
        <f ca="1">IFERROR(__xludf.DUMFUNCTION("GOOGLETRANSLATE(A2318,""id"",""en"")"),"the facts of marriage jang nara the husband believes the handsome ex -girlfriend is present thedefenders impi time for")</f>
        <v>the facts of marriage jang nara the husband believes the handsome ex -girlfriend is present thedefenders impi time for</v>
      </c>
    </row>
    <row r="2255" spans="1:2" x14ac:dyDescent="0.2">
      <c r="A2255" s="1" t="s">
        <v>989</v>
      </c>
      <c r="B2255" s="1" t="str">
        <f ca="1">IFERROR(__xludf.DUMFUNCTION("GOOGLETRANSLATE(A2319,""id"",""en"")"),"July  Test Trial Buy Pertalite Solar to Register")</f>
        <v>July  Test Trial Buy Pertalite Solar to Register</v>
      </c>
    </row>
    <row r="2256" spans="1:2" x14ac:dyDescent="0.2">
      <c r="A2256" s="1" t="s">
        <v>4202</v>
      </c>
      <c r="B2256" s="1" t="str">
        <f ca="1">IFERROR(__xludf.DUMFUNCTION("GOOGLETRANSLATE(A2320,""id"",""en"")"),"July buy fuel fuel fuel subsidies must use the  application")</f>
        <v>July buy fuel fuel fuel subsidies must use the  application</v>
      </c>
    </row>
    <row r="2257" spans="1:2" x14ac:dyDescent="0.2">
      <c r="A2257" s="1" t="s">
        <v>4203</v>
      </c>
      <c r="B2257" s="1" t="str">
        <f ca="1">IFERROR(__xludf.DUMFUNCTION("GOOGLETRANSLATE(A2321,""id"",""en"")"),"prevent the drug with a gas station dispenser pay using  calling in the cellphone prevent the bottom")</f>
        <v>prevent the drug with a gas station dispenser pay using  calling in the cellphone prevent the bottom</v>
      </c>
    </row>
    <row r="2258" spans="1:2" x14ac:dyDescent="0.2">
      <c r="A2258" s="1" t="s">
        <v>4204</v>
      </c>
      <c r="B2258" s="1" t="str">
        <f ca="1">IFERROR(__xludf.DUMFUNCTION("GOOGLETRANSLATE(A2322,""id"",""en"")"),"Beritasonora List of Cars Criteria Receive BBM Subsidies Must List ")</f>
        <v xml:space="preserve">Beritasonora List of Cars Criteria Receive BBM Subsidies Must List </v>
      </c>
    </row>
    <row r="2259" spans="1:2" x14ac:dyDescent="0.2">
      <c r="A2259" s="1" t="s">
        <v>4205</v>
      </c>
      <c r="B2259" s="1" t="str">
        <f ca="1">IFERROR(__xludf.DUMFUNCTION("GOOGLETRANSLATE(A2323,""id"",""en"")"),"List of   , the server is accommodated a lot of masses.")</f>
        <v>List of   , the server is accommodated a lot of masses.</v>
      </c>
    </row>
    <row r="2260" spans="1:2" x14ac:dyDescent="0.2">
      <c r="A2260" s="1" t="s">
        <v>4206</v>
      </c>
      <c r="B2260" s="1" t="str">
        <f ca="1">IFERROR(__xludf.DUMFUNCTION("GOOGLETRANSLATE(A2324,""id"",""en"")"),"wrong drew lha just list to buy pertalite using  qr varu car not bakaaln queued")</f>
        <v>wrong drew lha just list to buy pertalite using  qr varu car not bakaaln queued</v>
      </c>
    </row>
    <row r="2261" spans="1:2" x14ac:dyDescent="0.2">
      <c r="A2261" s="1" t="s">
        <v>4207</v>
      </c>
      <c r="B2261" s="1" t="str">
        <f ca="1">IFERROR(__xludf.DUMFUNCTION("GOOGLETRANSLATE(A2325,""id"",""en"")"),"Week No Fill in Gasoline Relate  Duh Fomo")</f>
        <v>Week No Fill in Gasoline Relate  Duh Fomo</v>
      </c>
    </row>
    <row r="2262" spans="1:2" x14ac:dyDescent="0.2">
      <c r="A2262" s="1" t="s">
        <v>4208</v>
      </c>
      <c r="B2262" s="1" t="str">
        <f ca="1">IFERROR(__xludf.DUMFUNCTION("GOOGLETRANSLATE(A2326,""id"",""en"")"),"all -round gada applications that have been downloaded by  kh sms hrs are required to gin")</f>
        <v>all -round gada applications that have been downloaded by  kh sms hrs are required to gin</v>
      </c>
    </row>
    <row r="2263" spans="1:2" x14ac:dyDescent="0.2">
      <c r="A2263" s="1" t="s">
        <v>4209</v>
      </c>
      <c r="B2263" s="1" t="str">
        <f ca="1">IFERROR(__xludf.DUMFUNCTION("GOOGLETRANSLATE(A2327,""id"",""en"")"),"The community's side is worried that the  application lists the  page")</f>
        <v>The community's side is worried that the  application lists the  page</v>
      </c>
    </row>
    <row r="2264" spans="1:2" x14ac:dyDescent="0.2">
      <c r="A2264" s="1" t="s">
        <v>4210</v>
      </c>
      <c r="B2264" s="1" t="str">
        <f ca="1">IFERROR(__xludf.DUMFUNCTION("GOOGLETRANSLATE(A2328,""id"",""en"")"),"buy subsidized fuel using  July")</f>
        <v>buy subsidized fuel using  July</v>
      </c>
    </row>
    <row r="2265" spans="1:2" x14ac:dyDescent="0.2">
      <c r="A2265" s="1" t="s">
        <v>4211</v>
      </c>
      <c r="B2265" s="1" t="str">
        <f ca="1">IFERROR(__xludf.DUMFUNCTION("GOOGLETRANSLATE(A2329,""id"",""en"")"),"Kalong cheater doesn't plan to make a  application cheat so that the balance of Rp.")</f>
        <v>Kalong cheater doesn't plan to make a  application cheat so that the balance of Rp.</v>
      </c>
    </row>
    <row r="2266" spans="1:2" x14ac:dyDescent="0.2">
      <c r="A2266" s="1" t="s">
        <v>4212</v>
      </c>
      <c r="B2266" s="1" t="str">
        <f ca="1">IFERROR(__xludf.DUMFUNCTION("GOOGLETRANSLATE(A2330,""id"",""en"")"),"Pandu Buy Gasoline  Application")</f>
        <v>Pandu Buy Gasoline  Application</v>
      </c>
    </row>
    <row r="2267" spans="1:2" x14ac:dyDescent="0.2">
      <c r="A2267" s="1" t="s">
        <v>129</v>
      </c>
      <c r="B2267" s="1" t="str">
        <f ca="1">IFERROR(__xludf.DUMFUNCTION("GOOGLETRANSLATE(A2331,""id"",""en"")"),"Buy Pertalite Solar Setting the community The right to buy fuel subsidies must be done")</f>
        <v>Buy Pertalite Solar Setting the community The right to buy fuel subsidies must be done</v>
      </c>
    </row>
    <row r="2268" spans="1:2" x14ac:dyDescent="0.2">
      <c r="A2268" s="1" t="s">
        <v>4213</v>
      </c>
      <c r="B2268" s="1" t="str">
        <f ca="1">IFERROR(__xludf.DUMFUNCTION("GOOGLETRANSLATE(A2332,""id"",""en"")"),"example of the holetamina holetamina oil vaccine")</f>
        <v>example of the holetamina holetamina oil vaccine</v>
      </c>
    </row>
    <row r="2269" spans="1:2" x14ac:dyDescent="0.2">
      <c r="A2269" s="1" t="s">
        <v>4214</v>
      </c>
      <c r="B2269" s="1" t="str">
        <f ca="1">IFERROR(__xludf.DUMFUNCTION("GOOGLETRANSLATE(A2333,""id"",""en"")"),"Director of  Patra Niaga July Juli Test Initiative Subsidies Pertalite Solar for the name of the  System List")</f>
        <v>Director of  Patra Niaga July Juli Test Initiative Subsidies Pertalite Solar for the name of the  System List</v>
      </c>
    </row>
    <row r="2270" spans="1:2" x14ac:dyDescent="0.2">
      <c r="A2270" s="1" t="s">
        <v>4215</v>
      </c>
      <c r="B2270" s="1" t="str">
        <f ca="1">IFERROR(__xludf.DUMFUNCTION("GOOGLETRANSLATE(A2334,""id"",""en"")"),"Beritasonora July People Buy Fuel Fuel Fuel PERTALITE SOLAR MANDATORY APPLICATION ")</f>
        <v xml:space="preserve">Beritasonora July People Buy Fuel Fuel Fuel PERTALITE SOLAR MANDATORY APPLICATION </v>
      </c>
    </row>
    <row r="2271" spans="1:2" x14ac:dyDescent="0.2">
      <c r="A2271" s="1" t="s">
        <v>4216</v>
      </c>
      <c r="B2271" s="1" t="str">
        <f ca="1">IFERROR(__xludf.DUMFUNCTION("GOOGLETRANSLATE(A2335,""id"",""en"")"),"Taufikurachman Pay BBM Subsidy Pay Cash Pay Credit Credit Card Debit Border  Hopefully the public is aware of BBM subsidies")</f>
        <v>Taufikurachman Pay BBM Subsidy Pay Cash Pay Credit Credit Card Debit Border  Hopefully the public is aware of BBM subsidies</v>
      </c>
    </row>
    <row r="2272" spans="1:2" x14ac:dyDescent="0.2">
      <c r="A2272" s="1" t="s">
        <v>130</v>
      </c>
      <c r="B2272" s="1" t="str">
        <f ca="1">IFERROR(__xludf.DUMFUNCTION("GOOGLETRANSLATE(A2336,""id"",""en"")"),"IMPAU Public Rights Pertalite Solar Lists List of Salur Salur Subsidies Sasar Quota")</f>
        <v>IMPAU Public Rights Pertalite Solar Lists List of Salur Salur Subsidies Sasar Quota</v>
      </c>
    </row>
    <row r="2273" spans="1:2" x14ac:dyDescent="0.2">
      <c r="A2273" s="1" t="s">
        <v>4217</v>
      </c>
      <c r="B2273" s="1" t="str">
        <f ca="1">IFERROR(__xludf.DUMFUNCTION("GOOGLETRANSLATE(A2337,""id"",""en"")")," Mandatory Consumers Using the  Application Buy Pertalite Solar")</f>
        <v xml:space="preserve"> Mandatory Consumers Using the  Application Buy Pertalite Solar</v>
      </c>
    </row>
    <row r="2274" spans="1:2" x14ac:dyDescent="0.2">
      <c r="A2274" s="1" t="s">
        <v>2625</v>
      </c>
      <c r="B2274" s="1" t="str">
        <f ca="1">IFERROR(__xludf.DUMFUNCTION("GOOGLETRANSLATE(A2338,""id"",""en"")"),"buy subsidized fuel using  pks state to make people bother")</f>
        <v>buy subsidized fuel using  pks state to make people bother</v>
      </c>
    </row>
    <row r="2275" spans="1:2" x14ac:dyDescent="0.2">
      <c r="A2275" s="1" t="s">
        <v>4218</v>
      </c>
      <c r="B2275" s="1" t="str">
        <f ca="1">IFERROR(__xludf.DUMFUNCTION("GOOGLETRANSLATE(A2339,""id"",""en"")"),"Bandung City One of the Mandatory Regions Must Buy Subsidized BBM Using the  Application Impacts Wisely Citizens of Cimahi Gasoline Via Gasoline")</f>
        <v>Bandung City One of the Mandatory Regions Must Buy Subsidized BBM Using the  Application Impacts Wisely Citizens of Cimahi Gasoline Via Gasoline</v>
      </c>
    </row>
    <row r="2276" spans="1:2" x14ac:dyDescent="0.2">
      <c r="A2276" s="1" t="s">
        <v>4219</v>
      </c>
      <c r="B2276" s="1" t="str">
        <f ca="1">IFERROR(__xludf.DUMFUNCTION("GOOGLETRANSLATE(A2340,""id"",""en"")"),"trial of West Sumatra Province South Kalimantan, North Sulawesi, West Java, Special Region of Yogyakarta, Salur Salur Subsidies of Fuel Fuel Pertalite Application  July")</f>
        <v>trial of West Sumatra Province South Kalimantan, North Sulawesi, West Java, Special Region of Yogyakarta, Salur Salur Subsidies of Fuel Fuel Pertalite Application  July</v>
      </c>
    </row>
    <row r="2277" spans="1:2" x14ac:dyDescent="0.2">
      <c r="A2277" s="1" t="s">
        <v>4220</v>
      </c>
      <c r="B2277" s="1" t="str">
        <f ca="1">IFERROR(__xludf.DUMFUNCTION("GOOGLETRANSLATE(A2341,""id"",""en"")"),"Area Manager Communication Relations AMP Sumbagut PT  Patra Niaga Taufikurachman List of Consumer Solarite National Pertalite Riau September Source of Infopku Pekanbaru BBMSubsidi ")</f>
        <v xml:space="preserve">Area Manager Communication Relations AMP Sumbagut PT  Patra Niaga Taufikurachman List of Consumer Solarite National Pertalite Riau September Source of Infopku Pekanbaru BBMSubsidi </v>
      </c>
    </row>
    <row r="2278" spans="1:2" x14ac:dyDescent="0.2">
      <c r="A2278" s="1" t="s">
        <v>4221</v>
      </c>
      <c r="B2278" s="1" t="str">
        <f ca="1">IFERROR(__xludf.DUMFUNCTION("GOOGLETRANSLATE(A2342,""id"",""en"")"),"Achieve Impi's Prizes Join  Spread Prizes")</f>
        <v>Achieve Impi's Prizes Join  Spread Prizes</v>
      </c>
    </row>
    <row r="2279" spans="1:2" x14ac:dyDescent="0.2">
      <c r="A2279" s="1" t="s">
        <v>4222</v>
      </c>
      <c r="B2279" s="1" t="str">
        <f ca="1">IFERROR(__xludf.DUMFUNCTION("GOOGLETRANSLATE(A2343,""id"",""en"")"),"Ributin  application is a lot of contra carbite, try to see from the side of no offense ")</f>
        <v xml:space="preserve">Ributin  application is a lot of contra carbite, try to see from the side of no offense </v>
      </c>
    </row>
    <row r="2280" spans="1:2" x14ac:dyDescent="0.2">
      <c r="A2280" s="1" t="s">
        <v>4223</v>
      </c>
      <c r="B2280" s="1" t="str">
        <f ca="1">IFERROR(__xludf.DUMFUNCTION("GOOGLETRANSLATE(A2344,""id"",""en"")"),"Terpiep Buy Pertamax using the  Application Suitable Nopol Concept of BBM Sri Lanka Digital Coupon")</f>
        <v>Terpiep Buy Pertamax using the  Application Suitable Nopol Concept of BBM Sri Lanka Digital Coupon</v>
      </c>
    </row>
    <row r="2281" spans="1:2" x14ac:dyDescent="0.2">
      <c r="A2281" s="1" t="s">
        <v>4224</v>
      </c>
      <c r="B2281" s="1" t="str">
        <f ca="1">IFERROR(__xludf.DUMFUNCTION("GOOGLETRANSLATE(A2345,""id"",""en"")"),"July the community account list of  pages buy subsidized fuel")</f>
        <v>July the community account list of  pages buy subsidized fuel</v>
      </c>
    </row>
    <row r="2282" spans="1:2" x14ac:dyDescent="0.2">
      <c r="A2282" s="1" t="s">
        <v>4225</v>
      </c>
      <c r="B2282" s="1" t="str">
        <f ca="1">IFERROR(__xludf.DUMFUNCTION("GOOGLETRANSLATE(A2346,""id"",""en"")"),"important to register for the website of  data suitable for consumers gas station transactions transactions digital")</f>
        <v>important to register for the website of  data suitable for consumers gas station transactions transactions digital</v>
      </c>
    </row>
    <row r="2283" spans="1:2" x14ac:dyDescent="0.2">
      <c r="A2283" s="1" t="s">
        <v>4226</v>
      </c>
      <c r="B2283" s="1" t="str">
        <f ca="1">IFERROR(__xludf.DUMFUNCTION("GOOGLETRANSLATE(A2347,""id"",""en"")"),"then now the contents of the gasoline I have to have a  gt account")</f>
        <v>then now the contents of the gasoline I have to have a  gt account</v>
      </c>
    </row>
    <row r="2284" spans="1:2" x14ac:dyDescent="0.2">
      <c r="A2284" s="1" t="s">
        <v>4227</v>
      </c>
      <c r="B2284" s="1" t="str">
        <f ca="1">IFERROR(__xludf.DUMFUNCTION("GOOGLETRANSLATE(A2348,""id"",""en"")"),"Install  , just link the contents of 's balance, pay , sorry, bro")</f>
        <v>Install  , just link the contents of 's balance, pay , sorry, bro</v>
      </c>
    </row>
    <row r="2285" spans="1:2" x14ac:dyDescent="0.2">
      <c r="A2285" s="1" t="s">
        <v>4228</v>
      </c>
      <c r="B2285" s="1" t="str">
        <f ca="1">IFERROR(__xludf.DUMFUNCTION("GOOGLETRANSLATE(A2349,""id"",""en"")"),"Beritasonora Alas Area Must Register  Buy Pertalite Via")</f>
        <v>Beritasonora Alas Area Must Register  Buy Pertalite Via</v>
      </c>
    </row>
    <row r="2286" spans="1:2" x14ac:dyDescent="0.2">
      <c r="A2286" s="1" t="s">
        <v>4229</v>
      </c>
      <c r="B2286" s="1" t="str">
        <f ca="1">IFERROR(__xludf.DUMFUNCTION("GOOGLETRANSLATE(A2350,""id"",""en"")"),"Buy Pertalite Must Use  Listen to the list of files")</f>
        <v>Buy Pertalite Must Use  Listen to the list of files</v>
      </c>
    </row>
    <row r="2287" spans="1:2" x14ac:dyDescent="0.2">
      <c r="A2287" s="1" t="s">
        <v>4230</v>
      </c>
      <c r="B2287" s="1" t="str">
        <f ca="1">IFERROR(__xludf.DUMFUNCTION("GOOGLETRANSLATE(A2351,""id"",""en"")"),"the public List of the  Website Application Management Confirmation of Kendara List of Solar Pertalite Rights")</f>
        <v>the public List of the  Website Application Management Confirmation of Kendara List of Solar Pertalite Rights</v>
      </c>
    </row>
    <row r="2288" spans="1:2" x14ac:dyDescent="0.2">
      <c r="A2288" s="1" t="s">
        <v>4231</v>
      </c>
      <c r="B2288" s="1" t="str">
        <f ca="1">IFERROR(__xludf.DUMFUNCTION("GOOGLETRANSLATE(A2352,""id"",""en"")"),"Bang HP memory is already full of images not install ")</f>
        <v xml:space="preserve">Bang HP memory is already full of images not install </v>
      </c>
    </row>
    <row r="2289" spans="1:2" x14ac:dyDescent="0.2">
      <c r="A2289" s="1" t="s">
        <v>4232</v>
      </c>
      <c r="B2289" s="1" t="str">
        <f ca="1">IFERROR(__xludf.DUMFUNCTION("GOOGLETRANSLATE(A2353,""id"",""en"")"),"for the application  goes to aware of the fuel of the fuel for the solar fuel, the people of the community are not")</f>
        <v>for the application  goes to aware of the fuel of the fuel for the solar fuel, the people of the community are not</v>
      </c>
    </row>
    <row r="2290" spans="1:2" x14ac:dyDescent="0.2">
      <c r="A2290" s="1" t="s">
        <v>4233</v>
      </c>
      <c r="B2290" s="1" t="str">
        <f ca="1">IFERROR(__xludf.DUMFUNCTION("GOOGLETRANSLATE(A2355,""id"",""en"")"),"Silence Download the  Application Not Protest Already Just Out of the House You Disconnect Yes Disclaimer Conditions of course sell if Wan Abud Kadrun Protest")</f>
        <v>Silence Download the  Application Not Protest Already Just Out of the House You Disconnect Yes Disclaimer Conditions of course sell if Wan Abud Kadrun Protest</v>
      </c>
    </row>
    <row r="2291" spans="1:2" x14ac:dyDescent="0.2">
      <c r="A2291" s="1" t="s">
        <v>4234</v>
      </c>
      <c r="B2291" s="1" t="str">
        <f ca="1">IFERROR(__xludf.DUMFUNCTION("GOOGLETRANSLATE(A2356,""id"",""en"")"),"Buy Pertalite Solar Mandatory List of  July Applications Can POLLINGELSHINTA")</f>
        <v>Buy Pertalite Solar Mandatory List of  July Applications Can POLLINGELSHINTA</v>
      </c>
    </row>
    <row r="2292" spans="1:2" x14ac:dyDescent="0.2">
      <c r="A2292" s="1" t="s">
        <v>4235</v>
      </c>
      <c r="B2292" s="1" t="str">
        <f ca="1">IFERROR(__xludf.DUMFUNCTION("GOOGLETRANSLATE(A2357,""id"",""en"")"),"Alas Area Mandatory List of  Buy Pertalite")</f>
        <v>Alas Area Mandatory List of  Buy Pertalite</v>
      </c>
    </row>
    <row r="2293" spans="1:2" x14ac:dyDescent="0.2">
      <c r="A2293" s="1" t="s">
        <v>4236</v>
      </c>
      <c r="B2293" s="1" t="str">
        <f ca="1">IFERROR(__xludf.DUMFUNCTION("GOOGLETRANSLATE(A2358,""id"",""en"")"),"The aim is really the Cashless Kek  Ewkwk model, but people don't like to tell students to demo millennials, lifting young people, like the tech gin huhu question mark, young people who refuse because it's complicated because it is complicated")</f>
        <v>The aim is really the Cashless Kek  Ewkwk model, but people don't like to tell students to demo millennials, lifting young people, like the tech gin huhu question mark, young people who refuse because it's complicated because it is complicated</v>
      </c>
    </row>
    <row r="2294" spans="1:2" x14ac:dyDescent="0.2">
      <c r="A2294" s="1" t="s">
        <v>4016</v>
      </c>
      <c r="B2294" s="1" t="str">
        <f ca="1">IFERROR(__xludf.DUMFUNCTION("GOOGLETRANSLATE(A2359,""id"",""en"")"),"buy fuel subsidies  led Commission VII Solution")</f>
        <v>buy fuel subsidies  led Commission VII Solution</v>
      </c>
    </row>
    <row r="2295" spans="1:2" x14ac:dyDescent="0.2">
      <c r="A2295" s="1" t="s">
        <v>4237</v>
      </c>
      <c r="B2295" s="1" t="str">
        <f ca="1">IFERROR(__xludf.DUMFUNCTION("GOOGLETRANSLATE(A2360,""id"",""en"")"),"Buy the Owned OPTION OPTION QR CODE Mandatory  Application")</f>
        <v>Buy the Owned OPTION OPTION QR CODE Mandatory  Application</v>
      </c>
    </row>
    <row r="2296" spans="1:2" x14ac:dyDescent="0.2">
      <c r="A2296" s="1" t="s">
        <v>4238</v>
      </c>
      <c r="B2296" s="1" t="str">
        <f ca="1">IFERROR(__xludf.DUMFUNCTION("GOOGLETRANSLATE(A2361,""id"",""en"")"),"Versatile  Application Buying LPG Kg Gas Mandatory Register")</f>
        <v>Versatile  Application Buying LPG Kg Gas Mandatory Register</v>
      </c>
    </row>
    <row r="2297" spans="1:2" x14ac:dyDescent="0.2">
      <c r="A2297" s="1" t="s">
        <v>3990</v>
      </c>
      <c r="B2297" s="1" t="str">
        <f ca="1">IFERROR(__xludf.DUMFUNCTION("GOOGLETRANSLATE(A2362,""id"",""en"")"),"just give the value of the  playstore appstore application like the mop")</f>
        <v>just give the value of the  playstore appstore application like the mop</v>
      </c>
    </row>
    <row r="2298" spans="1:2" x14ac:dyDescent="0.2">
      <c r="A2298" s="1" t="s">
        <v>4239</v>
      </c>
      <c r="B2298" s="1" t="str">
        <f ca="1">IFERROR(__xludf.DUMFUNCTION("GOOGLETRANSLATE(A2363,""id"",""en"")"),"July  Open the BBM BBM SUBSIDI BUY SUBSIDIA ")</f>
        <v xml:space="preserve">July  Open the BBM BBM SUBSIDI BUY SUBSIDIA </v>
      </c>
    </row>
    <row r="2299" spans="1:2" x14ac:dyDescent="0.2">
      <c r="A2299" s="1" t="s">
        <v>4240</v>
      </c>
      <c r="B2299" s="1" t="str">
        <f ca="1">IFERROR(__xludf.DUMFUNCTION("GOOGLETRANSLATE(A2364,""id"",""en"")"),"Must use the  Application Appoint QR Code")</f>
        <v>Must use the  Application Appoint QR Code</v>
      </c>
    </row>
    <row r="2300" spans="1:2" x14ac:dyDescent="0.2">
      <c r="A2300" s="1" t="s">
        <v>4241</v>
      </c>
      <c r="B2300" s="1" t="str">
        <f ca="1">IFERROR(__xludf.DUMFUNCTION("GOOGLETRANSLATE(A2365,""id"",""en"")"),"a list of identity vehicles to buy the  site open July")</f>
        <v>a list of identity vehicles to buy the  site open July</v>
      </c>
    </row>
    <row r="2301" spans="1:2" x14ac:dyDescent="0.2">
      <c r="A2301" s="1" t="s">
        <v>3892</v>
      </c>
      <c r="B2301" s="1" t="str">
        <f ca="1">IFERROR(__xludf.DUMFUNCTION("GOOGLETRANSLATE(A2366,""id"",""en"")"),"July PT  Mandatory Community  Application Buy Pertalite Solar SUBSIDI SAFE OPEN HP SPBU SIMAK Answer")</f>
        <v>July PT  Mandatory Community  Application Buy Pertalite Solar SUBSIDI SAFE OPEN HP SPBU SIMAK Answer</v>
      </c>
    </row>
    <row r="2302" spans="1:2" x14ac:dyDescent="0.2">
      <c r="A2302" s="1" t="s">
        <v>4242</v>
      </c>
      <c r="B2302" s="1" t="str">
        <f ca="1">IFERROR(__xludf.DUMFUNCTION("GOOGLETRANSLATE(A2367,""id"",""en"")"),"Check the facts of buying the wrong fuel using the  application")</f>
        <v>Check the facts of buying the wrong fuel using the  application</v>
      </c>
    </row>
    <row r="2303" spans="1:2" x14ac:dyDescent="0.2">
      <c r="A2303" s="1" t="s">
        <v>4243</v>
      </c>
      <c r="B2303" s="1" t="str">
        <f ca="1">IFERROR(__xludf.DUMFUNCTION("GOOGLETRANSLATE(A2368,""id"",""en"")"),"Check the facts of buying the wrong fuel using the  application via")</f>
        <v>Check the facts of buying the wrong fuel using the  application via</v>
      </c>
    </row>
    <row r="2304" spans="1:2" x14ac:dyDescent="0.2">
      <c r="A2304" s="1" t="s">
        <v>4244</v>
      </c>
      <c r="B2304" s="1" t="str">
        <f ca="1">IFERROR(__xludf.DUMFUNCTION("GOOGLETRANSLATE(A2369,""id"",""en"")"),"I don't forbid the black plate driving for drinking pertalite, the motorbike is not free of the contents of the pertalite using the  Linkaja application")</f>
        <v>I don't forbid the black plate driving for drinking pertalite, the motorbike is not free of the contents of the pertalite using the  Linkaja application</v>
      </c>
    </row>
    <row r="2305" spans="1:2" x14ac:dyDescent="0.2">
      <c r="A2305" s="1" t="s">
        <v>4245</v>
      </c>
      <c r="B2305" s="1" t="str">
        <f ca="1">IFERROR(__xludf.DUMFUNCTION("GOOGLETRANSLATE(A2370,""id"",""en"")"),"Anticipate 's  Error Pages")</f>
        <v>Anticipate 's  Error Pages</v>
      </c>
    </row>
    <row r="2306" spans="1:2" x14ac:dyDescent="0.2">
      <c r="A2306" s="1" t="s">
        <v>4246</v>
      </c>
      <c r="B2306" s="1" t="str">
        <f ca="1">IFERROR(__xludf.DUMFUNCTION("GOOGLETRANSLATE(A2372,""id"",""en"")"),"information transaction information  mobile safe gas station minimum distance of fuel dispensers Assisting gas station assignments")</f>
        <v>information transaction information  mobile safe gas station minimum distance of fuel dispensers Assisting gas station assignments</v>
      </c>
    </row>
    <row r="2307" spans="1:2" x14ac:dyDescent="0.2">
      <c r="A2307" s="1" t="s">
        <v>4247</v>
      </c>
      <c r="B2307" s="1" t="str">
        <f ca="1">IFERROR(__xludf.DUMFUNCTION("GOOGLETRANSLATE(A2373,""id"",""en"")"),"  please think")</f>
        <v xml:space="preserve">  please think</v>
      </c>
    </row>
    <row r="2308" spans="1:2" x14ac:dyDescent="0.2">
      <c r="A2308" s="1" t="s">
        <v>4248</v>
      </c>
      <c r="B2308" s="1" t="str">
        <f ca="1">IFERROR(__xludf.DUMFUNCTION("GOOGLETRANSLATE(A2374,""id"",""en"")"),"fortunately using , just pay directly")</f>
        <v>fortunately using , just pay directly</v>
      </c>
    </row>
    <row r="2309" spans="1:2" x14ac:dyDescent="0.2">
      <c r="A2309" s="1" t="s">
        <v>4249</v>
      </c>
      <c r="B2309" s="1" t="str">
        <f ca="1">IFERROR(__xludf.DUMFUNCTION("GOOGLETRANSLATE(A2375,""id"",""en"")"),"Pain Trial Buy Pertalite using  after the pertalite")</f>
        <v>Pain Trial Buy Pertalite using  after the pertalite</v>
      </c>
    </row>
    <row r="2310" spans="1:2" x14ac:dyDescent="0.2">
      <c r="A2310" s="1" t="s">
        <v>4250</v>
      </c>
      <c r="B2310" s="1" t="str">
        <f ca="1">IFERROR(__xludf.DUMFUNCTION("GOOGLETRANSLATE(A2376,""id"",""en"")")," System Help Suitable Data for Application List Rights")</f>
        <v xml:space="preserve"> System Help Suitable Data for Application List Rights</v>
      </c>
    </row>
    <row r="2311" spans="1:2" x14ac:dyDescent="0.2">
      <c r="A2311" s="1" t="s">
        <v>4251</v>
      </c>
      <c r="B2311" s="1" t="str">
        <f ca="1">IFERROR(__xludf.DUMFUNCTION("GOOGLETRANSLATE(A2377,""id"",""en"")"),"Pek Socialization Buy Pertalite  Emerged Discourse LPG Gas Transactions Kg Application Can be wise red and white lpg Gas Kg  Indonesia News IndonesiaBanget Newsmerahputih")</f>
        <v>Pek Socialization Buy Pertalite  Emerged Discourse LPG Gas Transactions Kg Application Can be wise red and white lpg Gas Kg  Indonesia News IndonesiaBanget Newsmerahputih</v>
      </c>
    </row>
    <row r="2312" spans="1:2" x14ac:dyDescent="0.2">
      <c r="A2312" s="1" t="s">
        <v>4044</v>
      </c>
      <c r="B2312" s="1" t="str">
        <f ca="1">IFERROR(__xludf.DUMFUNCTION("GOOGLETRANSLATE(A2378,""id"",""en"")"),"wise use of  application to buy Pertalite Solar Sasar")</f>
        <v>wise use of  application to buy Pertalite Solar Sasar</v>
      </c>
    </row>
    <row r="2313" spans="1:2" x14ac:dyDescent="0.2">
      <c r="A2313" s="1" t="s">
        <v>4252</v>
      </c>
      <c r="B2313" s="1" t="str">
        <f ca="1">IFERROR(__xludf.DUMFUNCTION("GOOGLETRANSLATE(A2379,""id"",""en"")"),"worried about paying the cashless cash system according to the method of paying the gas station to pay the  application")</f>
        <v>worried about paying the cashless cash system according to the method of paying the gas station to pay the  application</v>
      </c>
    </row>
    <row r="2314" spans="1:2" x14ac:dyDescent="0.2">
      <c r="A2314" s="1" t="s">
        <v>4253</v>
      </c>
      <c r="B2314" s="1" t="str">
        <f ca="1">IFERROR(__xludf.DUMFUNCTION("GOOGLETRANSLATE(A2380,""id"",""en"")"),"the mw donate can lgsg click the link  akh yh")</f>
        <v>the mw donate can lgsg click the link  akh yh</v>
      </c>
    </row>
    <row r="2315" spans="1:2" x14ac:dyDescent="0.2">
      <c r="A2315" s="1" t="s">
        <v>4254</v>
      </c>
      <c r="B2315" s="1" t="str">
        <f ca="1">IFERROR(__xludf.DUMFUNCTION("GOOGLETRANSLATE(A2381,""id"",""en"")")," Transaction  application mobile phone safe gas station minimum distance of fuel dispensers")</f>
        <v xml:space="preserve"> Transaction  application mobile phone safe gas station minimum distance of fuel dispensers</v>
      </c>
    </row>
    <row r="2316" spans="1:2" x14ac:dyDescent="0.2">
      <c r="A2316" s="1" t="s">
        <v>4255</v>
      </c>
      <c r="B2316" s="1" t="str">
        <f ca="1">IFERROR(__xludf.DUMFUNCTION("GOOGLETRANSLATE(A2382,""id"",""en"")"),"Natural Kite of  Application")</f>
        <v>Natural Kite of  Application</v>
      </c>
    </row>
    <row r="2317" spans="1:2" x14ac:dyDescent="0.2">
      <c r="A2317" s="1" t="s">
        <v>4256</v>
      </c>
      <c r="B2317" s="1" t="str">
        <f ca="1">IFERROR(__xludf.DUMFUNCTION("GOOGLETRANSLATE(A2383,""id"",""en"")")," Patra Niaga Test Trial Pertalite Solar  to Register")</f>
        <v xml:space="preserve"> Patra Niaga Test Trial Pertalite Solar  to Register</v>
      </c>
    </row>
    <row r="2318" spans="1:2" x14ac:dyDescent="0.2">
      <c r="A2318" s="1" t="s">
        <v>131</v>
      </c>
      <c r="B2318" s="1" t="str">
        <f ca="1">IFERROR(__xludf.DUMFUNCTION("GOOGLETRANSLATE(A2384,""id"",""en"")"),"Confused SPBU Transaction QR Code BBM Solar Subsidies Pertalite Roda Demonstration")</f>
        <v>Confused SPBU Transaction QR Code BBM Solar Subsidies Pertalite Roda Demonstration</v>
      </c>
    </row>
    <row r="2319" spans="1:2" x14ac:dyDescent="0.2">
      <c r="A2319" s="1" t="s">
        <v>4257</v>
      </c>
      <c r="B2319" s="1" t="str">
        <f ca="1">IFERROR(__xludf.DUMFUNCTION("GOOGLETRANSLATE(A2385,""id"",""en"")"),"The all -digital era of PT  Patra Niaga Paying Transactions Open a list of the Identity of the  July website, the QR Code that bought BBM subsidies")</f>
        <v>The all -digital era of PT  Patra Niaga Paying Transactions Open a list of the Identity of the  July website, the QR Code that bought BBM subsidies</v>
      </c>
    </row>
    <row r="2320" spans="1:2" x14ac:dyDescent="0.2">
      <c r="A2320" s="1" t="s">
        <v>4258</v>
      </c>
      <c r="B2320" s="1" t="str">
        <f ca="1">IFERROR(__xludf.DUMFUNCTION("GOOGLETRANSLATE(A2386,""id"",""en"")"),"City Information Navigation Buy Subsidized BBM Using the  Application Let's Read")</f>
        <v>City Information Navigation Buy Subsidized BBM Using the  Application Let's Read</v>
      </c>
    </row>
    <row r="2321" spans="1:2" x14ac:dyDescent="0.2">
      <c r="A2321" s="1" t="s">
        <v>4259</v>
      </c>
      <c r="B2321" s="1" t="str">
        <f ca="1">IFERROR(__xludf.DUMFUNCTION("GOOGLETRANSLATE(A2387,""id"",""en"")"),"You know that South Kalimantan who must use  banjarmasin ja banjarmasin area is safe")</f>
        <v>You know that South Kalimantan who must use  banjarmasin ja banjarmasin area is safe</v>
      </c>
    </row>
    <row r="2322" spans="1:2" x14ac:dyDescent="0.2">
      <c r="A2322" s="1" t="s">
        <v>4260</v>
      </c>
      <c r="B2322" s="1" t="str">
        <f ca="1">IFERROR(__xludf.DUMFUNCTION("GOOGLETRANSLATE(A2388,""id"",""en"")"),"New Wise Application Order New Wise Efforts  State  Application Buy BBM Subsidy Polemic Polemic Field Wrapup PodcastIndonesia")</f>
        <v>New Wise Application Order New Wise Efforts  State  Application Buy BBM Subsidy Polemic Polemic Field Wrapup PodcastIndonesia</v>
      </c>
    </row>
    <row r="2323" spans="1:2" x14ac:dyDescent="0.2">
      <c r="A2323" s="1" t="s">
        <v>4261</v>
      </c>
      <c r="B2323" s="1" t="str">
        <f ca="1">IFERROR(__xludf.DUMFUNCTION("GOOGLETRANSLATE(A2389,""id"",""en"")"),"Playing Hp SPBU forbidding BBM using the  application")</f>
        <v>Playing Hp SPBU forbidding BBM using the  application</v>
      </c>
    </row>
    <row r="2324" spans="1:2" x14ac:dyDescent="0.2">
      <c r="A2324" s="1" t="s">
        <v>4262</v>
      </c>
      <c r="B2324" s="1" t="str">
        <f ca="1">IFERROR(__xludf.DUMFUNCTION("GOOGLETRANSLATE(A2390,""id"",""en"")"),"lpg kg hit by  to reject the application of the  to reject the application of the ")</f>
        <v xml:space="preserve">lpg kg hit by  to reject the application of the  to reject the application of the </v>
      </c>
    </row>
    <row r="2325" spans="1:2" x14ac:dyDescent="0.2">
      <c r="A2325" s="1" t="s">
        <v>4263</v>
      </c>
      <c r="B2325" s="1" t="str">
        <f ca="1">IFERROR(__xludf.DUMFUNCTION("GOOGLETRANSLATE(A2391,""id"",""en"")"),"Representative of Pertamax Tomorrow ")</f>
        <v xml:space="preserve">Representative of Pertamax Tomorrow </v>
      </c>
    </row>
    <row r="2326" spans="1:2" x14ac:dyDescent="0.2">
      <c r="A2326" s="1" t="s">
        <v>4264</v>
      </c>
      <c r="B2326" s="1" t="str">
        <f ca="1">IFERROR(__xludf.DUMFUNCTION("GOOGLETRANSLATE(A2392,""id"",""en"")"),"Residents are worried that it is difficult to buy Pertalite using   ready to step")</f>
        <v>Residents are worried that it is difficult to buy Pertalite using   ready to step</v>
      </c>
    </row>
    <row r="2327" spans="1:2" x14ac:dyDescent="0.2">
      <c r="A2327" s="1" t="s">
        <v>4265</v>
      </c>
      <c r="B2327" s="1" t="str">
        <f ca="1">IFERROR(__xludf.DUMFUNCTION("GOOGLETRANSLATE(A2393,""id"",""en"")"),"influence for  to sell gasoline")</f>
        <v>influence for  to sell gasoline</v>
      </c>
    </row>
    <row r="2328" spans="1:2" x14ac:dyDescent="0.2">
      <c r="A2328" s="1" t="s">
        <v>4264</v>
      </c>
      <c r="B2328" s="1" t="str">
        <f ca="1">IFERROR(__xludf.DUMFUNCTION("GOOGLETRANSLATE(A2394,""id"",""en"")"),"Residents are worried that it is difficult to buy Pertalite using   ready to step")</f>
        <v>Residents are worried that it is difficult to buy Pertalite using   ready to step</v>
      </c>
    </row>
    <row r="2329" spans="1:2" x14ac:dyDescent="0.2">
      <c r="A2329" s="1" t="s">
        <v>4266</v>
      </c>
      <c r="B2329" s="1" t="str">
        <f ca="1">IFERROR(__xludf.DUMFUNCTION("GOOGLETRANSLATE(A2395,""id"",""en"")"),"Talking about  last night I dream of a strange dream of  resigning day grout, but I am a lot of work pressure real life lg tired of Workload wkwk")</f>
        <v>Talking about  last night I dream of a strange dream of  resigning day grout, but I am a lot of work pressure real life lg tired of Workload wkwk</v>
      </c>
    </row>
    <row r="2330" spans="1:2" x14ac:dyDescent="0.2">
      <c r="A2330" s="1" t="s">
        <v>4267</v>
      </c>
      <c r="B2330" s="1" t="str">
        <f ca="1">IFERROR(__xludf.DUMFUNCTION("GOOGLETRANSLATE(A2396,""id"",""en"")"),"Buy Pertalite  Bring Hp Gin")</f>
        <v>Buy Pertalite  Bring Hp Gin</v>
      </c>
    </row>
    <row r="2331" spans="1:2" x14ac:dyDescent="0.2">
      <c r="A2331" s="1" t="s">
        <v>4268</v>
      </c>
      <c r="B2331" s="1" t="str">
        <f ca="1">IFERROR(__xludf.DUMFUNCTION("GOOGLETRANSLATE(A2397,""id"",""en"")"),"List of  Buy BBM Solar Pertalite July Tomorrow SIMAK Region")</f>
        <v>List of  Buy BBM Solar Pertalite July Tomorrow SIMAK Region</v>
      </c>
    </row>
    <row r="2332" spans="1:2" x14ac:dyDescent="0.2">
      <c r="A2332" s="1" t="s">
        <v>4269</v>
      </c>
      <c r="B2332" s="1" t="str">
        <f ca="1">IFERROR(__xludf.DUMFUNCTION("GOOGLETRANSLATE(A2398,""id"",""en"")"),"procedure for the list of fuel uses for  subsidies via infosumbar  bbm subsidized ")</f>
        <v xml:space="preserve">procedure for the list of fuel uses for  subsidies via infosumbar  bbm subsidized </v>
      </c>
    </row>
    <row r="2333" spans="1:2" x14ac:dyDescent="0.2">
      <c r="A2333" s="1" t="s">
        <v>4270</v>
      </c>
      <c r="B2333" s="1" t="str">
        <f ca="1">IFERROR(__xludf.DUMFUNCTION("GOOGLETRANSLATE(A2399,""id"",""en"")"),"Lead Commission VII DPR  Application BBM Solution")</f>
        <v>Lead Commission VII DPR  Application BBM Solution</v>
      </c>
    </row>
    <row r="2334" spans="1:2" x14ac:dyDescent="0.2">
      <c r="A2334" s="1" t="s">
        <v>4271</v>
      </c>
      <c r="B2334" s="1" t="str">
        <f ca="1">IFERROR(__xludf.DUMFUNCTION("GOOGLETRANSLATE(A2400,""id"",""en"")"),"You use , the explosive trial material is not an explosive car.")</f>
        <v>You use , the explosive trial material is not an explosive car.</v>
      </c>
    </row>
    <row r="2335" spans="1:2" x14ac:dyDescent="0.2">
      <c r="A2335" s="1" t="s">
        <v>4272</v>
      </c>
      <c r="B2335" s="1" t="str">
        <f ca="1">IFERROR(__xludf.DUMFUNCTION("GOOGLETRANSLATE(A2401,""id"",""en"")")," Patra Niaga Testing Pertalite Solar ")</f>
        <v xml:space="preserve"> Patra Niaga Testing Pertalite Solar </v>
      </c>
    </row>
    <row r="2336" spans="1:2" x14ac:dyDescent="0.2">
      <c r="A2336" s="1" t="s">
        <v>4273</v>
      </c>
      <c r="B2336" s="1" t="str">
        <f ca="1">IFERROR(__xludf.DUMFUNCTION("GOOGLETRANSLATE(A2402,""id"",""en"")"),"Record Buy Pertalite Solar Mandatory  Application Requirements")</f>
        <v>Record Buy Pertalite Solar Mandatory  Application Requirements</v>
      </c>
    </row>
    <row r="2337" spans="1:2" x14ac:dyDescent="0.2">
      <c r="A2337" s="1" t="s">
        <v>4274</v>
      </c>
      <c r="B2337" s="1" t="str">
        <f ca="1">IFERROR(__xludf.DUMFUNCTION("GOOGLETRANSLATE(A2403,""id"",""en"")"),"Jabat PJS Corporate Secretary of PT  Patra Niaga Irto Ginting Testing Policy Buying Pertalite Using  Not Selling For Kendara Motorcycle Test Motornya Only Special Roda Roda Trials")</f>
        <v>Jabat PJS Corporate Secretary of PT  Patra Niaga Irto Ginting Testing Policy Buying Pertalite Using  Not Selling For Kendara Motorcycle Test Motornya Only Special Roda Roda Trials</v>
      </c>
    </row>
    <row r="2338" spans="1:2" x14ac:dyDescent="0.2">
      <c r="A2338" s="1" t="s">
        <v>4267</v>
      </c>
      <c r="B2338" s="1" t="str">
        <f ca="1">IFERROR(__xludf.DUMFUNCTION("GOOGLETRANSLATE(A2404,""id"",""en"")"),"Buy Pertalite  Bring Hp Gin")</f>
        <v>Buy Pertalite  Bring Hp Gin</v>
      </c>
    </row>
    <row r="2339" spans="1:2" x14ac:dyDescent="0.2">
      <c r="A2339" s="1" t="s">
        <v>4275</v>
      </c>
      <c r="B2339" s="1" t="str">
        <f ca="1">IFERROR(__xludf.DUMFUNCTION("GOOGLETRANSLATE(A2405,""id"",""en"")"),"Jabat PJS Corporate Secretary of PT  Patra Niaga Irto Ginting Testing Trials Care for Pertalite Using  NGA Drive Kendara Motorcycle Test Hny Special Roda Roda")</f>
        <v>Jabat PJS Corporate Secretary of PT  Patra Niaga Irto Ginting Testing Trials Care for Pertalite Using  NGA Drive Kendara Motorcycle Test Hny Special Roda Roda</v>
      </c>
    </row>
    <row r="2340" spans="1:2" x14ac:dyDescent="0.2">
      <c r="A2340" s="1" t="s">
        <v>4276</v>
      </c>
      <c r="B2340" s="1" t="str">
        <f ca="1">IFERROR(__xludf.DUMFUNCTION("GOOGLETRANSLATE(A2406,""id"",""en"")"),"Jabat PJS Corporate Secretary of PT  Patra Niaga Irto Ginting Test KBITI BUY PERTALITE USING  KGK PLOTS SCHOOL OF SPECIAL TRIAL SPECIES")</f>
        <v>Jabat PJS Corporate Secretary of PT  Patra Niaga Irto Ginting Test KBITI BUY PERTALITE USING  KGK PLOTS SCHOOL OF SPECIAL TRIAL SPECIES</v>
      </c>
    </row>
    <row r="2341" spans="1:2" x14ac:dyDescent="0.2">
      <c r="A2341" s="1" t="s">
        <v>4277</v>
      </c>
      <c r="B2341" s="1" t="str">
        <f ca="1">IFERROR(__xludf.DUMFUNCTION("GOOGLETRANSLATE(A2407,""id"",""en"")"),"Cheap Luxury Quality Skirt Recommendations, Enthuman Jamin Like  Indra Bekti Rep")</f>
        <v>Cheap Luxury Quality Skirt Recommendations, Enthuman Jamin Like  Indra Bekti Rep</v>
      </c>
    </row>
    <row r="2342" spans="1:2" x14ac:dyDescent="0.2">
      <c r="A2342" s="1" t="s">
        <v>4278</v>
      </c>
      <c r="B2342" s="1" t="str">
        <f ca="1">IFERROR(__xludf.DUMFUNCTION("GOOGLETRANSLATE(A2408,""id"",""en"")"),"try downloading  amp links the payment definition")</f>
        <v>try downloading  amp links the payment definition</v>
      </c>
    </row>
    <row r="2343" spans="1:2" x14ac:dyDescent="0.2">
      <c r="A2343" s="1" t="s">
        <v>4279</v>
      </c>
      <c r="B2343" s="1" t="str">
        <f ca="1">IFERROR(__xludf.DUMFUNCTION("GOOGLETRANSLATE(A2409,""id"",""en"")"),"Use  Yogyakarta Whole DIY")</f>
        <v>Use  Yogyakarta Whole DIY</v>
      </c>
    </row>
    <row r="2344" spans="1:2" x14ac:dyDescent="0.2">
      <c r="A2344" s="1" t="s">
        <v>4127</v>
      </c>
      <c r="B2344" s="1" t="str">
        <f ca="1">IFERROR(__xludf.DUMFUNCTION("GOOGLETRANSLATE(A2410,""id"",""en"")")," Buy Pertalite Smartphone Wisely Buy Fuel Fuel Subsidies Subsidized Digital Critical Applications Very Energy Consumer Institution Loss Group")</f>
        <v xml:space="preserve"> Buy Pertalite Smartphone Wisely Buy Fuel Fuel Subsidies Subsidized Digital Critical Applications Very Energy Consumer Institution Loss Group</v>
      </c>
    </row>
    <row r="2345" spans="1:2" x14ac:dyDescent="0.2">
      <c r="A2345" s="1" t="s">
        <v>4280</v>
      </c>
      <c r="B2345" s="1" t="str">
        <f ca="1">IFERROR(__xludf.DUMFUNCTION("GOOGLETRANSLATE(A2411,""id"",""en"")"),"July  Open List of  Website")</f>
        <v>July  Open List of  Website</v>
      </c>
    </row>
    <row r="2346" spans="1:2" x14ac:dyDescent="0.2">
      <c r="A2346" s="1" t="s">
        <v>4281</v>
      </c>
      <c r="B2346" s="1" t="str">
        <f ca="1">IFERROR(__xludf.DUMFUNCTION("GOOGLETRANSLATE(A2412,""id"",""en"")"),"orders to open opportunities for legal medical cannabis July buy pertalite list  prices plummeting fresh fruit bunches of East Kalimantan so that it rotates complete bulletinpagi podcastindonesia")</f>
        <v>orders to open opportunities for legal medical cannabis July buy pertalite list  prices plummeting fresh fruit bunches of East Kalimantan so that it rotates complete bulletinpagi podcastindonesia</v>
      </c>
    </row>
    <row r="2347" spans="1:2" x14ac:dyDescent="0.2">
      <c r="A2347" s="1" t="s">
        <v>4282</v>
      </c>
      <c r="B2347" s="1" t="str">
        <f ca="1">IFERROR(__xludf.DUMFUNCTION("GOOGLETRANSLATE(A2413,""id"",""en"")"),"Can't wait to give the rating of  star")</f>
        <v>Can't wait to give the rating of  star</v>
      </c>
    </row>
    <row r="2348" spans="1:2" x14ac:dyDescent="0.2">
      <c r="A2348" s="1" t="s">
        <v>4283</v>
      </c>
      <c r="B2348" s="1" t="str">
        <f ca="1">IFERROR(__xludf.DUMFUNCTION("GOOGLETRANSLATE(A2414,""id"",""en"")"),"tuku gas melon using ")</f>
        <v xml:space="preserve">tuku gas melon using </v>
      </c>
    </row>
    <row r="2349" spans="1:2" x14ac:dyDescent="0.2">
      <c r="A2349" s="1" t="s">
        <v>4284</v>
      </c>
      <c r="B2349" s="1" t="str">
        <f ca="1">IFERROR(__xludf.DUMFUNCTION("GOOGLETRANSLATE(A2415,""id"",""en"")"),"Sofar UI etc.  isn't bapuk, I don't know if it's already a user lets See")</f>
        <v>Sofar UI etc.  isn't bapuk, I don't know if it's already a user lets See</v>
      </c>
    </row>
    <row r="2350" spans="1:2" x14ac:dyDescent="0.2">
      <c r="A2350" s="1" t="s">
        <v>4285</v>
      </c>
      <c r="B2350" s="1" t="str">
        <f ca="1">IFERROR(__xludf.DUMFUNCTION("GOOGLETRANSLATE(A2416,""id"",""en"")"),"Rame safe campaign for wise hp gas station apps  prohibits no survivors consumers testing motorbikes consumers not explosive insurance when the contents of the pertalite hahahaha")</f>
        <v>Rame safe campaign for wise hp gas station apps  prohibits no survivors consumers testing motorbikes consumers not explosive insurance when the contents of the pertalite hahahaha</v>
      </c>
    </row>
    <row r="2351" spans="1:2" x14ac:dyDescent="0.2">
      <c r="A2351" s="1" t="s">
        <v>132</v>
      </c>
      <c r="B2351" s="1" t="str">
        <f ca="1">IFERROR(__xludf.DUMFUNCTION("GOOGLETRANSLATE(A2417,""id"",""en"")"),"Mas Pras Mhn clearly details apkh hny for cars apkh motor sell well yes kpn")</f>
        <v>Mas Pras Mhn clearly details apkh hny for cars apkh motor sell well yes kpn</v>
      </c>
    </row>
    <row r="2352" spans="1:2" x14ac:dyDescent="0.2">
      <c r="A2352" s="1" t="s">
        <v>4286</v>
      </c>
      <c r="B2352" s="1" t="str">
        <f ca="1">IFERROR(__xludf.DUMFUNCTION("GOOGLETRANSLATE(A2418,""id"",""en"")")," just topup links, I know   gatau for gatau telkomsel link for telkomsel for telkomsel")</f>
        <v xml:space="preserve"> just topup links, I know   gatau for gatau telkomsel link for telkomsel for telkomsel</v>
      </c>
    </row>
    <row r="2353" spans="1:2" x14ac:dyDescent="0.2">
      <c r="A2353" s="1" t="s">
        <v>4287</v>
      </c>
      <c r="B2353" s="1" t="str">
        <f ca="1">IFERROR(__xludf.DUMFUNCTION("GOOGLETRANSLATE(A2419,""id"",""en"")"),"poor people then cellphones say that they don't buy poor people to use the  gimna application, the concept")</f>
        <v>poor people then cellphones say that they don't buy poor people to use the  gimna application, the concept</v>
      </c>
    </row>
    <row r="2354" spans="1:2" x14ac:dyDescent="0.2">
      <c r="A2354" s="1" t="s">
        <v>4288</v>
      </c>
      <c r="B2354" s="1" t="str">
        <f ca="1">IFERROR(__xludf.DUMFUNCTION("GOOGLETRANSLATE(A2420,""id"",""en"")"),"Ning Pertamini Wae Rasah Nganggo ")</f>
        <v xml:space="preserve">Ning Pertamini Wae Rasah Nganggo </v>
      </c>
    </row>
    <row r="2355" spans="1:2" x14ac:dyDescent="0.2">
      <c r="A2355" s="1" t="s">
        <v>4289</v>
      </c>
      <c r="B2355" s="1" t="str">
        <f ca="1">IFERROR(__xludf.DUMFUNCTION("GOOGLETRANSLATE(A2421,""id"",""en"")"),"Mandatory Community Order  Application Buy BBM Subsidies July")</f>
        <v>Mandatory Community Order  Application Buy BBM Subsidies July</v>
      </c>
    </row>
    <row r="2356" spans="1:2" x14ac:dyDescent="0.2">
      <c r="A2356" s="1" t="s">
        <v>4290</v>
      </c>
      <c r="B2356" s="1" t="str">
        <f ca="1">IFERROR(__xludf.DUMFUNCTION("GOOGLETRANSLATE(A2422,""id"",""en"")"),"anyway, use the  application, see together")</f>
        <v>anyway, use the  application, see together</v>
      </c>
    </row>
    <row r="2357" spans="1:2" x14ac:dyDescent="0.2">
      <c r="A2357" s="1" t="s">
        <v>4291</v>
      </c>
      <c r="B2357" s="1" t="str">
        <f ca="1">IFERROR(__xludf.DUMFUNCTION("GOOGLETRANSLATE(A2423,""id"",""en"")")," Application Buy Pertalite Solar Laku List Link")</f>
        <v xml:space="preserve"> Application Buy Pertalite Solar Laku List Link</v>
      </c>
    </row>
    <row r="2358" spans="1:2" x14ac:dyDescent="0.2">
      <c r="A2358" s="1" t="s">
        <v>4292</v>
      </c>
      <c r="B2358" s="1" t="str">
        <f ca="1">IFERROR(__xludf.DUMFUNCTION("GOOGLETRANSLATE(A2424,""id"",""en"")"),"Aceh is included in the list of BBM buying locations using the Masakews  application")</f>
        <v>Aceh is included in the list of BBM buying locations using the Masakews  application</v>
      </c>
    </row>
    <row r="2359" spans="1:2" x14ac:dyDescent="0.2">
      <c r="A2359" s="1" t="s">
        <v>133</v>
      </c>
      <c r="B2359" s="1" t="str">
        <f ca="1">IFERROR(__xludf.DUMFUNCTION("GOOGLETRANSLATE(A2425,""id"",""en"")"),"So let's be Pertamax Turbo fuel andal acceleration of engine dear always")</f>
        <v>So let's be Pertamax Turbo fuel andal acceleration of engine dear always</v>
      </c>
    </row>
    <row r="2360" spans="1:2" x14ac:dyDescent="0.2">
      <c r="A2360" s="1" t="s">
        <v>4293</v>
      </c>
      <c r="B2360" s="1" t="str">
        <f ca="1">IFERROR(__xludf.DUMFUNCTION("GOOGLETRANSLATE(A2426,""id"",""en"")"),"access with the application  qr code that receives also print out amp carry physical gas stations when do the contents of the solar pertalite")</f>
        <v>access with the application  qr code that receives also print out amp carry physical gas stations when do the contents of the solar pertalite</v>
      </c>
    </row>
    <row r="2361" spans="1:2" x14ac:dyDescent="0.2">
      <c r="A2361" s="1" t="s">
        <v>4267</v>
      </c>
      <c r="B2361" s="1" t="str">
        <f ca="1">IFERROR(__xludf.DUMFUNCTION("GOOGLETRANSLATE(A2427,""id"",""en"")"),"Buy Pertalite  Bring Hp Gin")</f>
        <v>Buy Pertalite  Bring Hp Gin</v>
      </c>
    </row>
    <row r="2362" spans="1:2" x14ac:dyDescent="0.2">
      <c r="A2362" s="1" t="s">
        <v>4294</v>
      </c>
      <c r="B2362" s="1" t="str">
        <f ca="1">IFERROR(__xludf.DUMFUNCTION("GOOGLETRANSLATE(A2428,""id"",""en"")"),"not a solution to buy pertalite kg gas using  buying bulk migor using protected")</f>
        <v>not a solution to buy pertalite kg gas using  buying bulk migor using protected</v>
      </c>
    </row>
    <row r="2363" spans="1:2" x14ac:dyDescent="0.2">
      <c r="A2363" s="1" t="s">
        <v>4295</v>
      </c>
      <c r="B2363" s="1" t="str">
        <f ca="1">IFERROR(__xludf.DUMFUNCTION("GOOGLETRANSLATE(A2429,""id"",""en"")"),"Jabat PJS Corporate Secretary of PT  Patra Niaga Irto Ginting Testing Trials Care for Pertalite Using  Laku for Kendara Motorcycle Test Motornya Has Special Roda Roda Trials")</f>
        <v>Jabat PJS Corporate Secretary of PT  Patra Niaga Irto Ginting Testing Trials Care for Pertalite Using  Laku for Kendara Motorcycle Test Motornya Has Special Roda Roda Trials</v>
      </c>
    </row>
    <row r="2364" spans="1:2" x14ac:dyDescent="0.2">
      <c r="A2364" s="1" t="s">
        <v>4296</v>
      </c>
      <c r="B2364" s="1" t="str">
        <f ca="1">IFERROR(__xludf.DUMFUNCTION("GOOGLETRANSLATE(A2430,""id"",""en"")"),"application to buy bbm  raat public")</f>
        <v>application to buy bbm  raat public</v>
      </c>
    </row>
    <row r="2365" spans="1:2" x14ac:dyDescent="0.2">
      <c r="A2365" s="1" t="s">
        <v>4297</v>
      </c>
      <c r="B2365" s="1" t="str">
        <f ca="1">IFERROR(__xludf.DUMFUNCTION("GOOGLETRANSLATE(A2431,""id"",""en"")"),"He Em Install  Already Anti Nuclear Anti -Explusion Features")</f>
        <v>He Em Install  Already Anti Nuclear Anti -Explusion Features</v>
      </c>
    </row>
    <row r="2366" spans="1:2" x14ac:dyDescent="0.2">
      <c r="A2366" s="1" t="s">
        <v>4298</v>
      </c>
      <c r="B2366" s="1" t="str">
        <f ca="1">IFERROR(__xludf.DUMFUNCTION("GOOGLETRANSLATE(A2432,""id"",""en"")"),"The Andal  Star Buy LPG Gasoline Crossing Bad Star Stars")</f>
        <v>The Andal  Star Buy LPG Gasoline Crossing Bad Star Stars</v>
      </c>
    </row>
    <row r="2367" spans="1:2" x14ac:dyDescent="0.2">
      <c r="A2367" s="1" t="s">
        <v>4299</v>
      </c>
      <c r="B2367" s="1" t="str">
        <f ca="1">IFERROR(__xludf.DUMFUNCTION("GOOGLETRANSLATE(A2433,""id"",""en"")"),"Jabat Acting Corporate Secretary of PT  Patra Niaga Irto Ginting Test Wise Trial Buy Pertalite Using  Motorcycle Trials Special Trials Special Roda Roda")</f>
        <v>Jabat Acting Corporate Secretary of PT  Patra Niaga Irto Ginting Test Wise Trial Buy Pertalite Using  Motorcycle Trials Special Trials Special Roda Roda</v>
      </c>
    </row>
    <row r="2368" spans="1:2" x14ac:dyDescent="0.2">
      <c r="A2368" s="1" t="s">
        <v>4300</v>
      </c>
      <c r="B2368" s="1" t="str">
        <f ca="1">IFERROR(__xludf.DUMFUNCTION("GOOGLETRANSLATE(A2434,""id"",""en"")"),"access with the  qr code application, receive print out, bring physical gas stations through the contents of the solar pertalite")</f>
        <v>access with the  qr code application, receive print out, bring physical gas stations through the contents of the solar pertalite</v>
      </c>
    </row>
    <row r="2369" spans="1:2" x14ac:dyDescent="0.2">
      <c r="A2369" s="1" t="s">
        <v>3305</v>
      </c>
      <c r="B2369" s="1" t="str">
        <f ca="1">IFERROR(__xludf.DUMFUNCTION("GOOGLETRANSLATE(A2435,""id"",""en"")"),"Watch Bbm  Youtube Gt Gt Gt Application")</f>
        <v>Watch Bbm  Youtube Gt Gt Gt Application</v>
      </c>
    </row>
    <row r="2370" spans="1:2" x14ac:dyDescent="0.2">
      <c r="A2370" s="1" t="s">
        <v>4301</v>
      </c>
      <c r="B2370" s="1" t="str">
        <f ca="1">IFERROR(__xludf.DUMFUNCTION("GOOGLETRANSLATE(A2436,""id"",""en"")")," thinks it's hard to buy subsidized fuel")</f>
        <v xml:space="preserve"> thinks it's hard to buy subsidized fuel</v>
      </c>
    </row>
    <row r="2371" spans="1:2" x14ac:dyDescent="0.2">
      <c r="A2371" s="1" t="s">
        <v>4302</v>
      </c>
      <c r="B2371" s="1" t="str">
        <f ca="1">IFERROR(__xludf.DUMFUNCTION("GOOGLETRANSLATE(A2437,""id"",""en"")"),"Buy LPG Kg ")</f>
        <v xml:space="preserve">Buy LPG Kg </v>
      </c>
    </row>
    <row r="2372" spans="1:2" x14ac:dyDescent="0.2">
      <c r="A2372" s="1" t="s">
        <v>4303</v>
      </c>
      <c r="B2372" s="1" t="str">
        <f ca="1">IFERROR(__xludf.DUMFUNCTION("GOOGLETRANSLATE(A2438,""id"",""en"")"),"access with the  qr code application that receives also print out and bring physical gas stations when the contents of the pertalite and diesel")</f>
        <v>access with the  qr code application that receives also print out and bring physical gas stations when the contents of the pertalite and diesel</v>
      </c>
    </row>
    <row r="2373" spans="1:2" x14ac:dyDescent="0.2">
      <c r="A2373" s="1" t="s">
        <v>4304</v>
      </c>
      <c r="B2373" s="1" t="str">
        <f ca="1">IFERROR(__xludf.DUMFUNCTION("GOOGLETRANSLATE(A2439,""id"",""en"")"),"car specs recommendation tel bbm with low sectors of fuel subsidized ")</f>
        <v xml:space="preserve">car specs recommendation tel bbm with low sectors of fuel subsidized </v>
      </c>
    </row>
    <row r="2374" spans="1:2" x14ac:dyDescent="0.2">
      <c r="A2374" s="1" t="s">
        <v>4305</v>
      </c>
      <c r="B2374" s="1" t="str">
        <f ca="1">IFERROR(__xludf.DUMFUNCTION("GOOGLETRANSLATE(A2440,""id"",""en"")"),"Pertalite Biosolar Consumers Must List of  Applications BPH Migas Kendara CC List CC List Alias ​​Buy Pertalite Biosolar")</f>
        <v>Pertalite Biosolar Consumers Must List of  Applications BPH Migas Kendara CC List CC List Alias ​​Buy Pertalite Biosolar</v>
      </c>
    </row>
    <row r="2375" spans="1:2" x14ac:dyDescent="0.2">
      <c r="A2375" s="1" t="s">
        <v>4306</v>
      </c>
      <c r="B2375" s="1" t="str">
        <f ca="1">IFERROR(__xludf.DUMFUNCTION("GOOGLETRANSLATE(A2441,""id"",""en"")"),"Jogja residents of the Indonesian region must see buying fuel using  pertalite solar reading complete Portalyogoya ")</f>
        <v xml:space="preserve">Jogja residents of the Indonesian region must see buying fuel using  pertalite solar reading complete Portalyogoya </v>
      </c>
    </row>
    <row r="2376" spans="1:2" x14ac:dyDescent="0.2">
      <c r="A2376" s="1" t="s">
        <v>4307</v>
      </c>
      <c r="B2376" s="1" t="str">
        <f ca="1">IFERROR(__xludf.DUMFUNCTION("GOOGLETRANSLATE(A2442,""id"",""en"")"),"Pertalite Buy LPG Kilogram Mandatory Use ")</f>
        <v xml:space="preserve">Pertalite Buy LPG Kilogram Mandatory Use </v>
      </c>
    </row>
    <row r="2377" spans="1:2" x14ac:dyDescent="0.2">
      <c r="A2377" s="1" t="s">
        <v>4308</v>
      </c>
      <c r="B2377" s="1" t="str">
        <f ca="1">IFERROR(__xludf.DUMFUNCTION("GOOGLETRANSLATE(A2443,""id"",""en"")"),"List of  Criteria for Solar Subsidies Via")</f>
        <v>List of  Criteria for Solar Subsidies Via</v>
      </c>
    </row>
    <row r="2378" spans="1:2" x14ac:dyDescent="0.2">
      <c r="A2378" s="1" t="s">
        <v>3905</v>
      </c>
      <c r="B2378" s="1" t="str">
        <f ca="1">IFERROR(__xludf.DUMFUNCTION("GOOGLETRANSLATE(A2444,""id"",""en"")"),"already downloaded ")</f>
        <v xml:space="preserve">already downloaded </v>
      </c>
    </row>
    <row r="2379" spans="1:2" x14ac:dyDescent="0.2">
      <c r="A2379" s="1" t="s">
        <v>4309</v>
      </c>
      <c r="B2379" s="1" t="str">
        <f ca="1">IFERROR(__xludf.DUMFUNCTION("GOOGLETRANSLATE(A2445,""id"",""en"")"),"Jabat PJS Corporate Secretary of PT  Patra Niaga Irto Ginting Testing Policy Trial Buy Pertalite Using  Ngk Laku Uttk Kendara Motorcycle Test Hakan Special Roda Roda")</f>
        <v>Jabat PJS Corporate Secretary of PT  Patra Niaga Irto Ginting Testing Policy Trial Buy Pertalite Using  Ngk Laku Uttk Kendara Motorcycle Test Hakan Special Roda Roda</v>
      </c>
    </row>
    <row r="2380" spans="1:2" x14ac:dyDescent="0.2">
      <c r="A2380" s="1" t="s">
        <v>4310</v>
      </c>
      <c r="B2380" s="1" t="str">
        <f ca="1">IFERROR(__xludf.DUMFUNCTION("GOOGLETRANSLATE(A2446,""id"",""en"")"),"Take care of the country not to take care of the state of the state of the country needs to pay attention to the power of cooking oil using protection caring buying pertalite using the  prosperous application is dismissed")</f>
        <v>Take care of the country not to take care of the state of the state of the country needs to pay attention to the power of cooking oil using protection caring buying pertalite using the  prosperous application is dismissed</v>
      </c>
    </row>
    <row r="2381" spans="1:2" x14ac:dyDescent="0.2">
      <c r="A2381" s="1" t="s">
        <v>990</v>
      </c>
      <c r="B2381" s="1" t="str">
        <f ca="1">IFERROR(__xludf.DUMFUNCTION("GOOGLETRANSLATE(A2447,""id"",""en"")")," Mandatory Community Application List of Tempobusiness Website")</f>
        <v xml:space="preserve"> Mandatory Community Application List of Tempobusiness Website</v>
      </c>
    </row>
    <row r="2382" spans="1:2" x14ac:dyDescent="0.2">
      <c r="A2382" s="1" t="s">
        <v>4311</v>
      </c>
      <c r="B2382" s="1" t="str">
        <f ca="1">IFERROR(__xludf.DUMFUNCTION("GOOGLETRANSLATE(A2448,""id"",""en"")"),"otw kulak gasoline ")</f>
        <v xml:space="preserve">otw kulak gasoline </v>
      </c>
    </row>
    <row r="2383" spans="1:2" x14ac:dyDescent="0.2">
      <c r="A2383" s="1" t="s">
        <v>4312</v>
      </c>
      <c r="B2383" s="1" t="str">
        <f ca="1">IFERROR(__xludf.DUMFUNCTION("GOOGLETRANSLATE(A2449,""id"",""en"")"),"Jabat PJS Corporate Secretary of PT  Patra Niaga Irto Ginting Testing Trials Care for Pertalite Using  Nggk Laku Ntuk Kendara Motorcycle Trials are only specialized by Roda Vehicle")</f>
        <v>Jabat PJS Corporate Secretary of PT  Patra Niaga Irto Ginting Testing Trials Care for Pertalite Using  Nggk Laku Ntuk Kendara Motorcycle Trials are only specialized by Roda Vehicle</v>
      </c>
    </row>
    <row r="2384" spans="1:2" x14ac:dyDescent="0.2">
      <c r="A2384" s="1" t="s">
        <v>4313</v>
      </c>
      <c r="B2384" s="1" t="str">
        <f ca="1">IFERROR(__xludf.DUMFUNCTION("GOOGLETRANSLATE(A2450,""id"",""en"")"),"Kendara Motor Using the  Application Buy Pertalite Bandung Breakingnews")</f>
        <v>Kendara Motor Using the  Application Buy Pertalite Bandung Breakingnews</v>
      </c>
    </row>
    <row r="2385" spans="1:2" x14ac:dyDescent="0.2">
      <c r="A2385" s="1" t="s">
        <v>4314</v>
      </c>
      <c r="B2385" s="1" t="str">
        <f ca="1">IFERROR(__xludf.DUMFUNCTION("GOOGLETRANSLATE(A2451,""id"",""en"")"),"busy with  apps bulk migor etc.")</f>
        <v>busy with  apps bulk migor etc.</v>
      </c>
    </row>
    <row r="2386" spans="1:2" x14ac:dyDescent="0.2">
      <c r="A2386" s="1" t="s">
        <v>4315</v>
      </c>
      <c r="B2386" s="1" t="str">
        <f ca="1">IFERROR(__xludf.DUMFUNCTION("GOOGLETRANSLATE(A2452,""id"",""en"")"),"Actually, the purpose of  is to receive subsidies according to pay attention to receiving subsidies capable of capable gadgets")</f>
        <v>Actually, the purpose of  is to receive subsidies according to pay attention to receiving subsidies capable of capable gadgets</v>
      </c>
    </row>
    <row r="2387" spans="1:2" x14ac:dyDescent="0.2">
      <c r="A2387" s="1" t="s">
        <v>4316</v>
      </c>
      <c r="B2387" s="1" t="str">
        <f ca="1">IFERROR(__xludf.DUMFUNCTION("GOOGLETRANSLATE(A2453,""id"",""en"")"),"CC CC Motorcycle Cc prohibits the contents of Pertalite using ")</f>
        <v xml:space="preserve">CC CC Motorcycle Cc prohibits the contents of Pertalite using </v>
      </c>
    </row>
    <row r="2388" spans="1:2" x14ac:dyDescent="0.2">
      <c r="A2388" s="1" t="s">
        <v>4317</v>
      </c>
      <c r="B2388" s="1" t="str">
        <f ca="1">IFERROR(__xludf.DUMFUNCTION("GOOGLETRANSLATE(A2454,""id"",""en"")"),"Mandatory Community Order  Application Buy BBM Subsidies July The fate of smartphone appeals to use the SPBU area area of ​​the gas station, Metroharii")</f>
        <v>Mandatory Community Order  Application Buy BBM Subsidies July The fate of smartphone appeals to use the SPBU area area of ​​the gas station, Metroharii</v>
      </c>
    </row>
    <row r="2389" spans="1:2" x14ac:dyDescent="0.2">
      <c r="A2389" s="1" t="s">
        <v>4318</v>
      </c>
      <c r="B2389" s="1" t="str">
        <f ca="1">IFERROR(__xludf.DUMFUNCTION("GOOGLETRANSLATE(A2455,""id"",""en"")"),"Forced to buy a cellphone that supports  mod")</f>
        <v>Forced to buy a cellphone that supports  mod</v>
      </c>
    </row>
    <row r="2390" spans="1:2" x14ac:dyDescent="0.2">
      <c r="A2390" s="1" t="s">
        <v>2859</v>
      </c>
      <c r="B2390" s="1" t="str">
        <f ca="1">IFERROR(__xludf.DUMFUNCTION("GOOGLETRANSLATE(A2456,""id"",""en"")"),"comment reading the facts of playing ")</f>
        <v xml:space="preserve">comment reading the facts of playing </v>
      </c>
    </row>
    <row r="2391" spans="1:2" x14ac:dyDescent="0.2">
      <c r="A2391" s="1" t="s">
        <v>4319</v>
      </c>
      <c r="B2391" s="1" t="str">
        <f ca="1">IFERROR(__xludf.DUMFUNCTION("GOOGLETRANSLATE(A2457,""id"",""en"")"),"Register Select Motor Apps  Motorcycle Brand that Protest Not Fair Wheel")</f>
        <v>Register Select Motor Apps  Motorcycle Brand that Protest Not Fair Wheel</v>
      </c>
    </row>
    <row r="2392" spans="1:2" x14ac:dyDescent="0.2">
      <c r="A2392" s="1" t="s">
        <v>4320</v>
      </c>
      <c r="B2392" s="1" t="str">
        <f ca="1">IFERROR(__xludf.DUMFUNCTION("GOOGLETRANSLATE(A2458,""id"",""en"")"),"a vehicle that must be required to install ")</f>
        <v xml:space="preserve">a vehicle that must be required to install </v>
      </c>
    </row>
    <row r="2393" spans="1:2" x14ac:dyDescent="0.2">
      <c r="A2393" s="1" t="s">
        <v>4321</v>
      </c>
      <c r="B2393" s="1" t="str">
        <f ca="1">IFERROR(__xludf.DUMFUNCTION("GOOGLETRANSLATE(A2459,""id"",""en"")"),"heart for  for a moment")</f>
        <v>heart for  for a moment</v>
      </c>
    </row>
    <row r="2394" spans="1:2" x14ac:dyDescent="0.2">
      <c r="A2394" s="1" t="s">
        <v>134</v>
      </c>
      <c r="B2394" s="1" t="str">
        <f ca="1">IFERROR(__xludf.DUMFUNCTION("GOOGLETRANSLATE(A2460,""id"",""en"")"),"trial applications of the West Java region")</f>
        <v>trial applications of the West Java region</v>
      </c>
    </row>
    <row r="2395" spans="1:2" x14ac:dyDescent="0.2">
      <c r="A2395" s="1" t="s">
        <v>4275</v>
      </c>
      <c r="B2395" s="1" t="str">
        <f ca="1">IFERROR(__xludf.DUMFUNCTION("GOOGLETRANSLATE(A2461,""id"",""en"")"),"Jabat PJS Corporate Secretary of PT  Patra Niaga Irto Ginting Testing Trials Care for Pertalite Using  NGA Drive Kendara Motorcycle Test Hny Special Roda Roda")</f>
        <v>Jabat PJS Corporate Secretary of PT  Patra Niaga Irto Ginting Testing Trials Care for Pertalite Using  NGA Drive Kendara Motorcycle Test Hny Special Roda Roda</v>
      </c>
    </row>
    <row r="2396" spans="1:2" x14ac:dyDescent="0.2">
      <c r="A2396" s="1" t="s">
        <v>4322</v>
      </c>
      <c r="B2396" s="1" t="str">
        <f ca="1">IFERROR(__xludf.DUMFUNCTION("GOOGLETRANSLATE(A2462,""id"",""en"")"),"access with the  qr code application also accept it can print out with a physical gas station through the contents of the solar pertalite")</f>
        <v>access with the  qr code application also accept it can print out with a physical gas station through the contents of the solar pertalite</v>
      </c>
    </row>
    <row r="2397" spans="1:2" x14ac:dyDescent="0.2">
      <c r="A2397" s="1" t="s">
        <v>4323</v>
      </c>
      <c r="B2397" s="1" t="str">
        <f ca="1">IFERROR(__xludf.DUMFUNCTION("GOOGLETRANSLATE(A2463,""id"",""en"")"),"but the motorcycle taxi is not obliged to download smntra  must download if you buy pertalite")</f>
        <v>but the motorcycle taxi is not obliged to download smntra  must download if you buy pertalite</v>
      </c>
    </row>
    <row r="2398" spans="1:2" x14ac:dyDescent="0.2">
      <c r="A2398" s="1" t="s">
        <v>4324</v>
      </c>
      <c r="B2398" s="1" t="str">
        <f ca="1">IFERROR(__xludf.DUMFUNCTION("GOOGLETRANSLATE(A2464,""id"",""en"")"),"Access with the application  QR Code that receive also can print out amp carry a physical gas station.")</f>
        <v>Access with the application  QR Code that receive also can print out amp carry a physical gas station.</v>
      </c>
    </row>
    <row r="2399" spans="1:2" x14ac:dyDescent="0.2">
      <c r="A2399" s="1" t="s">
        <v>4325</v>
      </c>
      <c r="B2399" s="1" t="str">
        <f ca="1">IFERROR(__xludf.DUMFUNCTION("GOOGLETRANSLATE(A2465,""id"",""en"")"),"access to the  qr code application receive print out with a physical gas station fill in the solar pertalite")</f>
        <v>access to the  qr code application receive print out with a physical gas station fill in the solar pertalite</v>
      </c>
    </row>
    <row r="2400" spans="1:2" x14ac:dyDescent="0.2">
      <c r="A2400" s="1" t="s">
        <v>4326</v>
      </c>
      <c r="B2400" s="1" t="str">
        <f ca="1">IFERROR(__xludf.DUMFUNCTION("GOOGLETRANSLATE(A2466,""id"",""en"")"),"So let's be Pertamax Turbo Fuel andal Acceleration of Engine Sayang Selalandalan PerfectioninPerformance  Call")</f>
        <v>So let's be Pertamax Turbo Fuel andal Acceleration of Engine Sayang Selalandalan PerfectioninPerformance  Call</v>
      </c>
    </row>
    <row r="2401" spans="1:2" x14ac:dyDescent="0.2">
      <c r="A2401" s="1" t="s">
        <v>4327</v>
      </c>
      <c r="B2401" s="1" t="str">
        <f ca="1">IFERROR(__xludf.DUMFUNCTION("GOOGLETRANSLATE(A2467,""id"",""en"")")," Motorcycle Test Motorcycle Tomorrow July")</f>
        <v xml:space="preserve"> Motorcycle Test Motorcycle Tomorrow July</v>
      </c>
    </row>
    <row r="2402" spans="1:2" x14ac:dyDescent="0.2">
      <c r="A2402" s="1" t="s">
        <v>4328</v>
      </c>
      <c r="B2402" s="1" t="str">
        <f ca="1">IFERROR(__xludf.DUMFUNCTION("GOOGLETRANSLATE(A2468,""id"",""en"")"),"the city of Bandung is wrong to buy subsidized fuel using the  application, the wise impact")</f>
        <v>the city of Bandung is wrong to buy subsidized fuel using the  application, the wise impact</v>
      </c>
    </row>
    <row r="2403" spans="1:2" x14ac:dyDescent="0.2">
      <c r="A2403" s="1" t="s">
        <v>4329</v>
      </c>
      <c r="B2403" s="1" t="str">
        <f ca="1">IFERROR(__xludf.DUMFUNCTION("GOOGLETRANSLATE(A2469,""id"",""en"")"),"Not Pertamax Turbo Complete  Technology Ignition Boost Formula Maintaining Rust Engine Holds Selalajadan PerfectioninPerformance  Call")</f>
        <v>Not Pertamax Turbo Complete  Technology Ignition Boost Formula Maintaining Rust Engine Holds Selalajadan PerfectioninPerformance  Call</v>
      </c>
    </row>
    <row r="2404" spans="1:2" x14ac:dyDescent="0.2">
      <c r="A2404" s="1" t="s">
        <v>4293</v>
      </c>
      <c r="B2404" s="1" t="str">
        <f ca="1">IFERROR(__xludf.DUMFUNCTION("GOOGLETRANSLATE(A2470,""id"",""en"")"),"access with the application  qr code that receives also print out amp carry physical gas stations when do the contents of the solar pertalite")</f>
        <v>access with the application  qr code that receives also print out amp carry physical gas stations when do the contents of the solar pertalite</v>
      </c>
    </row>
    <row r="2405" spans="1:2" x14ac:dyDescent="0.2">
      <c r="A2405" s="1" t="s">
        <v>4330</v>
      </c>
      <c r="B2405" s="1" t="str">
        <f ca="1">IFERROR(__xludf.DUMFUNCTION("GOOGLETRANSLATE(A2471,""id"",""en"")"),"Don't get the wrong info on July, just list the   application, the direction of the QRCode verification list for the TNP application transaction")</f>
        <v>Don't get the wrong info on July, just list the   application, the direction of the QRCode verification list for the TNP application transaction</v>
      </c>
    </row>
    <row r="2406" spans="1:2" x14ac:dyDescent="0.2">
      <c r="A2406" s="1" t="s">
        <v>4331</v>
      </c>
      <c r="B2406" s="1" t="str">
        <f ca="1">IFERROR(__xludf.DUMFUNCTION("GOOGLETRANSLATE(A2472,""id"",""en"")"),"just make a  card that is rich in swipe the balance card, just buy gasoline, just the  application never brought a gas station cellphone")</f>
        <v>just make a  card that is rich in swipe the balance card, just buy gasoline, just the  application never brought a gas station cellphone</v>
      </c>
    </row>
    <row r="2407" spans="1:2" x14ac:dyDescent="0.2">
      <c r="A2407" s="1" t="s">
        <v>4332</v>
      </c>
      <c r="B2407" s="1" t="str">
        <f ca="1">IFERROR(__xludf.DUMFUNCTION("GOOGLETRANSLATE(A2473,""id"",""en"")"),"Date July just list the   application in the direction of the QRCode verification list for the TNP Task Application Transaction")</f>
        <v>Date July just list the   application in the direction of the QRCode verification list for the TNP Task Application Transaction</v>
      </c>
    </row>
    <row r="2408" spans="1:2" x14ac:dyDescent="0.2">
      <c r="A2408" s="1" t="s">
        <v>4333</v>
      </c>
      <c r="B2408" s="1" t="str">
        <f ca="1">IFERROR(__xludf.DUMFUNCTION("GOOGLETRANSLATE(A2474,""id"",""en"")"),"Fast Lesiat Pertamax Turbo Taste sensation of acceleration of great engine performance Ron Turbo Selalujadadan PerfectioninPerformance  Call")</f>
        <v>Fast Lesiat Pertamax Turbo Taste sensation of acceleration of great engine performance Ron Turbo Selalujadadan PerfectioninPerformance  Call</v>
      </c>
    </row>
    <row r="2409" spans="1:2" x14ac:dyDescent="0.2">
      <c r="A2409" s="1" t="s">
        <v>4334</v>
      </c>
      <c r="B2409" s="1" t="str">
        <f ca="1">IFERROR(__xludf.DUMFUNCTION("GOOGLETRANSLATE(A2475,""id"",""en"")"),"Access with the application  QR Code Receive BSA Print Out Bring Physical gas station Fill in Solar Pertalite")</f>
        <v>Access with the application  QR Code Receive BSA Print Out Bring Physical gas station Fill in Solar Pertalite</v>
      </c>
    </row>
    <row r="2410" spans="1:2" x14ac:dyDescent="0.2">
      <c r="A2410" s="1" t="s">
        <v>4335</v>
      </c>
      <c r="B2410" s="1" t="str">
        <f ca="1">IFERROR(__xludf.DUMFUNCTION("GOOGLETRANSLATE(A2476,""id"",""en"")"),"urgency if you buy using the  application complicated")</f>
        <v>urgency if you buy using the  application complicated</v>
      </c>
    </row>
    <row r="2411" spans="1:2" x14ac:dyDescent="0.2">
      <c r="A2411" s="1" t="s">
        <v>4336</v>
      </c>
      <c r="B2411" s="1" t="str">
        <f ca="1">IFERROR(__xludf.DUMFUNCTION("GOOGLETRANSLATE(A2477,""id"",""en"")"),"To know, the July Date Just Register the   Application, the Direction of the Qrcode Verification List for the TNP Application Transaction")</f>
        <v>To know, the July Date Just Register the   Application, the Direction of the Qrcode Verification List for the TNP Application Transaction</v>
      </c>
    </row>
    <row r="2412" spans="1:2" x14ac:dyDescent="0.2">
      <c r="A2412" s="1" t="s">
        <v>4337</v>
      </c>
      <c r="B2412" s="1" t="str">
        <f ca="1">IFERROR(__xludf.DUMFUNCTION("GOOGLETRANSLATE(A2478,""id"",""en"")"),"Fill BBM using the  Kabar Rfid application")</f>
        <v>Fill BBM using the  Kabar Rfid application</v>
      </c>
    </row>
    <row r="2413" spans="1:2" x14ac:dyDescent="0.2">
      <c r="A2413" s="1" t="s">
        <v>4338</v>
      </c>
      <c r="B2413" s="1" t="str">
        <f ca="1">IFERROR(__xludf.DUMFUNCTION("GOOGLETRANSLATE(A2479,""id"",""en"")")," access unity")</f>
        <v xml:space="preserve"> access unity</v>
      </c>
    </row>
    <row r="2414" spans="1:2" x14ac:dyDescent="0.2">
      <c r="A2414" s="1" t="s">
        <v>4339</v>
      </c>
      <c r="B2414" s="1" t="str">
        <f ca="1">IFERROR(__xludf.DUMFUNCTION("GOOGLETRANSLATE(A2480,""id"",""en"")"),"Smart Marketing ")</f>
        <v xml:space="preserve">Smart Marketing </v>
      </c>
    </row>
    <row r="2415" spans="1:2" x14ac:dyDescent="0.2">
      <c r="A2415" s="1" t="s">
        <v>4340</v>
      </c>
      <c r="B2415" s="1" t="str">
        <f ca="1">IFERROR(__xludf.DUMFUNCTION("GOOGLETRANSLATE(A2481,""id"",""en"")"),"Klutik  Buy Pertalite Smartphone")</f>
        <v>Klutik  Buy Pertalite Smartphone</v>
      </c>
    </row>
    <row r="2416" spans="1:2" x14ac:dyDescent="0.2">
      <c r="A2416" s="1" t="s">
        <v>4341</v>
      </c>
      <c r="B2416" s="1" t="str">
        <f ca="1">IFERROR(__xludf.DUMFUNCTION("GOOGLETRANSLATE(A2482,""id"",""en"")"),"Buy Pertalite using the  Application Application for Active Gas Stupid Hp Stupid Hp Dongoooooo Stupid")</f>
        <v>Buy Pertalite using the  Application Application for Active Gas Stupid Hp Stupid Hp Dongoooooo Stupid</v>
      </c>
    </row>
    <row r="2417" spans="1:2" x14ac:dyDescent="0.2">
      <c r="A2417" s="1" t="s">
        <v>4342</v>
      </c>
      <c r="B2417" s="1" t="str">
        <f ca="1">IFERROR(__xludf.DUMFUNCTION("GOOGLETRANSLATE(A2483,""id"",""en"")"),"Buy LPG Kg Gas Mandatory List of  Web")</f>
        <v>Buy LPG Kg Gas Mandatory List of  Web</v>
      </c>
    </row>
    <row r="2418" spans="1:2" x14ac:dyDescent="0.2">
      <c r="A2418" s="1" t="s">
        <v>4343</v>
      </c>
      <c r="B2418" s="1" t="str">
        <f ca="1">IFERROR(__xludf.DUMFUNCTION("GOOGLETRANSLATE(A2484,""id"",""en"")"),"access with the application  qr code that receives also can print out and bring physical gas stations.")</f>
        <v>access with the application  qr code that receives also can print out and bring physical gas stations.</v>
      </c>
    </row>
    <row r="2419" spans="1:2" x14ac:dyDescent="0.2">
      <c r="A2419" s="1" t="s">
        <v>4344</v>
      </c>
      <c r="B2419" s="1" t="str">
        <f ca="1">IFERROR(__xludf.DUMFUNCTION("GOOGLETRANSLATE(A2485,""id"",""en"")"),"Valid Gaes Info Date July Just Register No   Application Direction Qrcode Verification List For TNP Application Transactions")</f>
        <v>Valid Gaes Info Date July Just Register No   Application Direction Qrcode Verification List For TNP Application Transactions</v>
      </c>
    </row>
    <row r="2420" spans="1:2" x14ac:dyDescent="0.2">
      <c r="A2420" s="1" t="s">
        <v>4345</v>
      </c>
      <c r="B2420" s="1" t="str">
        <f ca="1">IFERROR(__xludf.DUMFUNCTION("GOOGLETRANSLATE(A2486,""id"",""en"")"),"  Application Becomes a Sasar BBM Subsidy")</f>
        <v xml:space="preserve">  Application Becomes a Sasar BBM Subsidy</v>
      </c>
    </row>
    <row r="2421" spans="1:2" x14ac:dyDescent="0.2">
      <c r="A2421" s="1" t="s">
        <v>4346</v>
      </c>
      <c r="B2421" s="1" t="str">
        <f ca="1">IFERROR(__xludf.DUMFUNCTION("GOOGLETRANSLATE(A2487,""id"",""en"")"),"Date July just list the   application in the direction of the QRCode verification list for the TNP application transaction")</f>
        <v>Date July just list the   application in the direction of the QRCode verification list for the TNP application transaction</v>
      </c>
    </row>
    <row r="2422" spans="1:2" x14ac:dyDescent="0.2">
      <c r="A2422" s="1" t="s">
        <v>4347</v>
      </c>
      <c r="B2422" s="1" t="str">
        <f ca="1">IFERROR(__xludf.DUMFUNCTION("GOOGLETRANSLATE(A2488,""id"",""en"")"),"List of  Buy Pertalite Solar July")</f>
        <v>List of  Buy Pertalite Solar July</v>
      </c>
    </row>
    <row r="2423" spans="1:2" x14ac:dyDescent="0.2">
      <c r="A2423" s="1" t="s">
        <v>4348</v>
      </c>
      <c r="B2423" s="1" t="str">
        <f ca="1">IFERROR(__xludf.DUMFUNCTION("GOOGLETRANSLATE(A2489,""id"",""en"")"),"Bapak grumbling the house of anjirr Srius, it's hard to use Andro ios, you used to use the old school nokia laptop pc andro, and he just stayed a house after the batter")</f>
        <v>Bapak grumbling the house of anjirr Srius, it's hard to use Andro ios, you used to use the old school nokia laptop pc andro, and he just stayed a house after the batter</v>
      </c>
    </row>
    <row r="2424" spans="1:2" x14ac:dyDescent="0.2">
      <c r="A2424" s="1" t="s">
        <v>991</v>
      </c>
      <c r="B2424" s="1" t="str">
        <f ca="1">IFERROR(__xludf.DUMFUNCTION("GOOGLETRANSLATE(A2490,""id"",""en"")")," Open the Process of the List of Provinces Buy Petralite Solar Week")</f>
        <v xml:space="preserve"> Open the Process of the List of Provinces Buy Petralite Solar Week</v>
      </c>
    </row>
    <row r="2425" spans="1:2" x14ac:dyDescent="0.2">
      <c r="A2425" s="1" t="s">
        <v>4349</v>
      </c>
      <c r="B2425" s="1" t="str">
        <f ca="1">IFERROR(__xludf.DUMFUNCTION("GOOGLETRANSLATE(A2491,""id"",""en"")"),"Buzzer orders that are defending russia don't realize that like supporting war the price of dizzy price gpp, the project like bajerin apps  yes safe campaign using a gas station cellphone")</f>
        <v>Buzzer orders that are defending russia don't realize that like supporting war the price of dizzy price gpp, the project like bajerin apps  yes safe campaign using a gas station cellphone</v>
      </c>
    </row>
    <row r="2426" spans="1:2" x14ac:dyDescent="0.2">
      <c r="A2426" s="1" t="s">
        <v>4350</v>
      </c>
      <c r="B2426" s="1" t="str">
        <f ca="1">IFERROR(__xludf.DUMFUNCTION("GOOGLETRANSLATE(A2492,""id"",""en"")"),"if you buy a gas pertalite kg using   apk  mother who understands using ibuk tulalit cellphone")</f>
        <v>if you buy a gas pertalite kg using   apk  mother who understands using ibuk tulalit cellphone</v>
      </c>
    </row>
    <row r="2427" spans="1:2" x14ac:dyDescent="0.2">
      <c r="A2427" s="1" t="s">
        <v>4351</v>
      </c>
      <c r="B2427" s="1" t="str">
        <f ca="1">IFERROR(__xludf.DUMFUNCTION("GOOGLETRANSLATE(A2493,""id"",""en"")"),"access to the  qr code application receive bs print out with a physical gas station fill in the solar pertalite")</f>
        <v>access to the  qr code application receive bs print out with a physical gas station fill in the solar pertalite</v>
      </c>
    </row>
    <row r="2428" spans="1:2" x14ac:dyDescent="0.2">
      <c r="A2428" s="1" t="s">
        <v>4303</v>
      </c>
      <c r="B2428" s="1" t="str">
        <f ca="1">IFERROR(__xludf.DUMFUNCTION("GOOGLETRANSLATE(A2494,""id"",""en"")"),"access with the  qr code application that receives also print out and bring physical gas stations when the contents of the pertalite and diesel")</f>
        <v>access with the  qr code application that receives also print out and bring physical gas stations when the contents of the pertalite and diesel</v>
      </c>
    </row>
    <row r="2429" spans="1:2" x14ac:dyDescent="0.2">
      <c r="A2429" s="1" t="s">
        <v>4352</v>
      </c>
      <c r="B2429" s="1" t="str">
        <f ca="1">IFERROR(__xludf.DUMFUNCTION("GOOGLETRANSLATE(A2495,""id"",""en"")"),"plans to buy fuel fuel fuel for  subsidies reject the public reject the value of the application for the application is difficult to organize yld bulletininewspagi   bbm solar pertalite")</f>
        <v>plans to buy fuel fuel fuel for  subsidies reject the public reject the value of the application for the application is difficult to organize yld bulletininewspagi   bbm solar pertalite</v>
      </c>
    </row>
    <row r="2430" spans="1:2" x14ac:dyDescent="0.2">
      <c r="A2430" s="1" t="s">
        <v>135</v>
      </c>
      <c r="B2430" s="1" t="str">
        <f ca="1">IFERROR(__xludf.DUMFUNCTION("GOOGLETRANSLATE(A2496,""id"",""en"")"),"Ready to document requires KTP STNK Kendara Kendara Kendara Email address Document Supports the contents of the Registration Form")</f>
        <v>Ready to document requires KTP STNK Kendara Kendara Kendara Email address Document Supports the contents of the Registration Form</v>
      </c>
    </row>
    <row r="2431" spans="1:2" x14ac:dyDescent="0.2">
      <c r="A2431" s="1" t="s">
        <v>4353</v>
      </c>
      <c r="B2431" s="1" t="str">
        <f ca="1">IFERROR(__xludf.DUMFUNCTION("GOOGLETRANSLATE(A2497,""id"",""en"")"),"for the  application from the business of buying and selling the right application")</f>
        <v>for the  application from the business of buying and selling the right application</v>
      </c>
    </row>
    <row r="2432" spans="1:2" x14ac:dyDescent="0.2">
      <c r="A2432" s="1" t="s">
        <v>4324</v>
      </c>
      <c r="B2432" s="1" t="str">
        <f ca="1">IFERROR(__xludf.DUMFUNCTION("GOOGLETRANSLATE(A2498,""id"",""en"")"),"Access with the application  QR Code that receive also can print out amp carry a physical gas station.")</f>
        <v>Access with the application  QR Code that receive also can print out amp carry a physical gas station.</v>
      </c>
    </row>
    <row r="2433" spans="1:2" x14ac:dyDescent="0.2">
      <c r="A2433" s="1" t="s">
        <v>4354</v>
      </c>
      <c r="B2433" s="1" t="str">
        <f ca="1">IFERROR(__xludf.DUMFUNCTION("GOOGLETRANSLATE(A2499,""id"",""en"")"),"apk ")</f>
        <v xml:space="preserve">apk </v>
      </c>
    </row>
    <row r="2434" spans="1:2" x14ac:dyDescent="0.2">
      <c r="A2434" s="1" t="s">
        <v>2475</v>
      </c>
      <c r="B2434" s="1" t="str">
        <f ca="1">IFERROR(__xludf.DUMFUNCTION("GOOGLETRANSLATE(A2500,""id"",""en"")"),"Bandung City Residents Reject Pertalite Using the  Application")</f>
        <v>Bandung City Residents Reject Pertalite Using the  Application</v>
      </c>
    </row>
    <row r="2435" spans="1:2" x14ac:dyDescent="0.2">
      <c r="A2435" s="1" t="s">
        <v>4355</v>
      </c>
      <c r="B2435" s="1" t="str">
        <f ca="1">IFERROR(__xludf.DUMFUNCTION("GOOGLETRANSLATE(A2501,""id"",""en"")"),"Wow, a tour of the car is pertalite, wkwkwk, nek bien meh meh install  jarene ono undi gek nek tuku benggin cars kerep luwih hahahahaah")</f>
        <v>Wow, a tour of the car is pertalite, wkwkwk, nek bien meh meh install  jarene ono undi gek nek tuku benggin cars kerep luwih hahahahaah</v>
      </c>
    </row>
    <row r="2436" spans="1:2" x14ac:dyDescent="0.2">
      <c r="A2436" s="1" t="s">
        <v>4356</v>
      </c>
      <c r="B2436" s="1" t="str">
        <f ca="1">IFERROR(__xludf.DUMFUNCTION("GOOGLETRANSLATE(A2502,""id"",""en"")"),"Like using ")</f>
        <v xml:space="preserve">Like using </v>
      </c>
    </row>
    <row r="2437" spans="1:2" x14ac:dyDescent="0.2">
      <c r="A2437" s="1" t="s">
        <v>4357</v>
      </c>
      <c r="B2437" s="1" t="str">
        <f ca="1">IFERROR(__xludf.DUMFUNCTION("GOOGLETRANSLATE(A2503,""id"",""en"")"),"It's a stupid batteries who work quickly practically make you stupid old -fashion")</f>
        <v>It's a stupid batteries who work quickly practically make you stupid old -fashion</v>
      </c>
    </row>
    <row r="2438" spans="1:2" x14ac:dyDescent="0.2">
      <c r="A2438" s="1" t="s">
        <v>136</v>
      </c>
      <c r="B2438" s="1" t="str">
        <f ca="1">IFERROR(__xludf.DUMFUNCTION("GOOGLETRANSLATE(A2504,""id"",""en"")"),"Ahok is crazy")</f>
        <v>Ahok is crazy</v>
      </c>
    </row>
    <row r="2439" spans="1:2" x14ac:dyDescent="0.2">
      <c r="A2439" s="1" t="s">
        <v>4358</v>
      </c>
      <c r="B2439" s="1" t="str">
        <f ca="1">IFERROR(__xludf.DUMFUNCTION("GOOGLETRANSLATE(A2505,""id"",""en"")"),"if you buy a shop stall ")</f>
        <v xml:space="preserve">if you buy a shop stall </v>
      </c>
    </row>
    <row r="2440" spans="1:2" x14ac:dyDescent="0.2">
      <c r="A2440" s="1" t="s">
        <v>4359</v>
      </c>
      <c r="B2440" s="1" t="str">
        <f ca="1">IFERROR(__xludf.DUMFUNCTION("GOOGLETRANSLATE(A2506,""id"",""en"")"),"Nopol list may be  if the list of nopol borrowed motorbikes, because of the different high school, the loan is possible")</f>
        <v>Nopol list may be  if the list of nopol borrowed motorbikes, because of the different high school, the loan is possible</v>
      </c>
    </row>
    <row r="2441" spans="1:2" x14ac:dyDescent="0.2">
      <c r="A2441" s="1" t="s">
        <v>4360</v>
      </c>
      <c r="B2441" s="1" t="str">
        <f ca="1">IFERROR(__xludf.DUMFUNCTION("GOOGLETRANSLATE(A2507,""id"",""en"")"),"I'll buy cilok using  for a progress")</f>
        <v>I'll buy cilok using  for a progress</v>
      </c>
    </row>
    <row r="2442" spans="1:2" x14ac:dyDescent="0.2">
      <c r="A2442" s="1" t="s">
        <v>4361</v>
      </c>
      <c r="B2442" s="1" t="str">
        <f ca="1">IFERROR(__xludf.DUMFUNCTION("GOOGLETRANSLATE(A2508,""id"",""en"")"),"Community Mandatory Plan Order Buy LPG Kilogram  Application")</f>
        <v>Community Mandatory Plan Order Buy LPG Kilogram  Application</v>
      </c>
    </row>
    <row r="2443" spans="1:2" x14ac:dyDescent="0.2">
      <c r="A2443" s="1" t="s">
        <v>4362</v>
      </c>
      <c r="B2443" s="1" t="str">
        <f ca="1">IFERROR(__xludf.DUMFUNCTION("GOOGLETRANSLATE(A2509,""id"",""en"")")," is ok, the concept is not a barcode so that the gas station scan is to know the vehicle has been registered with the cellphone.")</f>
        <v xml:space="preserve"> is ok, the concept is not a barcode so that the gas station scan is to know the vehicle has been registered with the cellphone.</v>
      </c>
    </row>
    <row r="2444" spans="1:2" x14ac:dyDescent="0.2">
      <c r="A2444" s="1" t="s">
        <v>4298</v>
      </c>
      <c r="B2444" s="1" t="str">
        <f ca="1">IFERROR(__xludf.DUMFUNCTION("GOOGLETRANSLATE(A2510,""id"",""en"")"),"The Andal  Star Buy LPG Gasoline Crossing Bad Star Stars")</f>
        <v>The Andal  Star Buy LPG Gasoline Crossing Bad Star Stars</v>
      </c>
    </row>
    <row r="2445" spans="1:2" x14ac:dyDescent="0.2">
      <c r="A2445" s="1" t="s">
        <v>4363</v>
      </c>
      <c r="B2445" s="1" t="str">
        <f ca="1">IFERROR(__xludf.DUMFUNCTION("GOOGLETRANSLATE(A2511,""id"",""en"")"),"SPBU Jogja City Testing  Application Via")</f>
        <v>SPBU Jogja City Testing  Application Via</v>
      </c>
    </row>
    <row r="2446" spans="1:2" x14ac:dyDescent="0.2">
      <c r="A2446" s="1" t="s">
        <v>4364</v>
      </c>
      <c r="B2446" s="1" t="str">
        <f ca="1">IFERROR(__xludf.DUMFUNCTION("GOOGLETRANSLATE(A2512,""id"",""en"")"),"How about ")</f>
        <v xml:space="preserve">How about </v>
      </c>
    </row>
    <row r="2447" spans="1:2" x14ac:dyDescent="0.2">
      <c r="A2447" s="1" t="s">
        <v>4365</v>
      </c>
      <c r="B2447" s="1" t="str">
        <f ca="1">IFERROR(__xludf.DUMFUNCTION("GOOGLETRANSLATE(A2513,""id"",""en"")"),"Antipation of the  Error Website  Long List")</f>
        <v>Antipation of the  Error Website  Long List</v>
      </c>
    </row>
    <row r="2448" spans="1:2" x14ac:dyDescent="0.2">
      <c r="A2448" s="1" t="s">
        <v>4366</v>
      </c>
      <c r="B2448" s="1" t="str">
        <f ca="1">IFERROR(__xludf.DUMFUNCTION("GOOGLETRANSLATE(A2514,""id"",""en"")"),"ngising nguyuh gas station using ")</f>
        <v xml:space="preserve">ngising nguyuh gas station using </v>
      </c>
    </row>
    <row r="2449" spans="1:2" x14ac:dyDescent="0.2">
      <c r="A2449" s="1" t="s">
        <v>4367</v>
      </c>
      <c r="B2449" s="1" t="str">
        <f ca="1">IFERROR(__xludf.DUMFUNCTION("GOOGLETRANSLATE(A2515,""id"",""en"")"),"The era is just imagining how to buy a solar pertalite using the  Laran application")</f>
        <v>The era is just imagining how to buy a solar pertalite using the  Laran application</v>
      </c>
    </row>
    <row r="2450" spans="1:2" x14ac:dyDescent="0.2">
      <c r="A2450" s="1" t="s">
        <v>4368</v>
      </c>
      <c r="B2450" s="1" t="str">
        <f ca="1">IFERROR(__xludf.DUMFUNCTION("GOOGLETRANSLATE(A2516,""id"",""en"")"),"Buy BBM Using the  Application Salur BBM Subsidy Sasar")</f>
        <v>Buy BBM Using the  Application Salur BBM Subsidy Sasar</v>
      </c>
    </row>
    <row r="2451" spans="1:2" x14ac:dyDescent="0.2">
      <c r="A2451" s="1" t="s">
        <v>4369</v>
      </c>
      <c r="B2451" s="1" t="str">
        <f ca="1">IFERROR(__xludf.DUMFUNCTION("GOOGLETRANSLATE(A2517,""id"",""en"")"),"July, buy a must -be -solar pertalite, the Okezoners  application is safe")</f>
        <v>July, buy a must -be -solar pertalite, the Okezoners  application is safe</v>
      </c>
    </row>
    <row r="2452" spans="1:2" x14ac:dyDescent="0.2">
      <c r="A2452" s="1" t="s">
        <v>137</v>
      </c>
      <c r="B2452" s="1" t="str">
        <f ca="1">IFERROR(__xludf.DUMFUNCTION("GOOGLETRANSLATE(A2518,""id"",""en"")"),"wise regime is difficult for the people to make a living")</f>
        <v>wise regime is difficult for the people to make a living</v>
      </c>
    </row>
    <row r="2453" spans="1:2" x14ac:dyDescent="0.2">
      <c r="A2453" s="1" t="s">
        <v>138</v>
      </c>
      <c r="B2453" s="1" t="str">
        <f ca="1">IFERROR(__xludf.DUMFUNCTION("GOOGLETRANSLATE(A2519,""id"",""en"")"),"Nyo Rame plummeted the love of the stars")</f>
        <v>Nyo Rame plummeted the love of the stars</v>
      </c>
    </row>
    <row r="2454" spans="1:2" x14ac:dyDescent="0.2">
      <c r="A2454" s="1" t="s">
        <v>4365</v>
      </c>
      <c r="B2454" s="1" t="str">
        <f ca="1">IFERROR(__xludf.DUMFUNCTION("GOOGLETRANSLATE(A2520,""id"",""en"")"),"Antipation of the  Error Website  Long List")</f>
        <v>Antipation of the  Error Website  Long List</v>
      </c>
    </row>
    <row r="2455" spans="1:2" x14ac:dyDescent="0.2">
      <c r="A2455" s="1" t="s">
        <v>4370</v>
      </c>
      <c r="B2455" s="1" t="str">
        <f ca="1">IFERROR(__xludf.DUMFUNCTION("GOOGLETRANSLATE(A2521,""id"",""en"")"),"Panic people are worried that the apostasy is to adjust to buy fuel types of solar pertalite must be the community registration of the  Jokowi website, CekulumedCom")</f>
        <v>Panic people are worried that the apostasy is to adjust to buy fuel types of solar pertalite must be the community registration of the  Jokowi website, CekulumedCom</v>
      </c>
    </row>
    <row r="2456" spans="1:2" x14ac:dyDescent="0.2">
      <c r="A2456" s="1" t="s">
        <v>4371</v>
      </c>
      <c r="B2456" s="1" t="str">
        <f ca="1">IFERROR(__xludf.DUMFUNCTION("GOOGLETRANSLATE(A2522,""id"",""en"")"),"Kendara Motor List  Buy Pertalite")</f>
        <v>Kendara Motor List  Buy Pertalite</v>
      </c>
    </row>
    <row r="2457" spans="1:2" x14ac:dyDescent="0.2">
      <c r="A2457" s="1" t="s">
        <v>4372</v>
      </c>
      <c r="B2457" s="1" t="str">
        <f ca="1">IFERROR(__xludf.DUMFUNCTION("GOOGLETRANSLATE(A2523,""id"",""en"")"),"Karni Ilyas Club Jubir Minister of BUMN Information Information  Community Karniilyas  BUMN")</f>
        <v>Karni Ilyas Club Jubir Minister of BUMN Information Information  Community Karniilyas  BUMN</v>
      </c>
    </row>
    <row r="2458" spans="1:2" x14ac:dyDescent="0.2">
      <c r="A2458" s="1" t="s">
        <v>139</v>
      </c>
      <c r="B2458" s="1" t="str">
        <f ca="1">IFERROR(__xludf.DUMFUNCTION("GOOGLETRANSLATE(A2524,""id"",""en"")"),"I can't refuse to buy pertalite applications transfer, the one who chooses the authority to take the subsidized fuel node, not need it")</f>
        <v>I can't refuse to buy pertalite applications transfer, the one who chooses the authority to take the subsidized fuel node, not need it</v>
      </c>
    </row>
    <row r="2459" spans="1:2" x14ac:dyDescent="0.2">
      <c r="A2459" s="1" t="s">
        <v>4365</v>
      </c>
      <c r="B2459" s="1" t="str">
        <f ca="1">IFERROR(__xludf.DUMFUNCTION("GOOGLETRANSLATE(A2525,""id"",""en"")"),"Antipation of the  Error Website  Long List")</f>
        <v>Antipation of the  Error Website  Long List</v>
      </c>
    </row>
    <row r="2460" spans="1:2" x14ac:dyDescent="0.2">
      <c r="A2460" s="1" t="s">
        <v>4373</v>
      </c>
      <c r="B2460" s="1" t="str">
        <f ca="1">IFERROR(__xludf.DUMFUNCTION("GOOGLETRANSLATE(A2526,""id"",""en"")"),"Yesterday I watched Arya TV list applications for the list of  websites listing gas stations, got a sticker on a sign that the person would be complicated, hehe")</f>
        <v>Yesterday I watched Arya TV list applications for the list of  websites listing gas stations, got a sticker on a sign that the person would be complicated, hehe</v>
      </c>
    </row>
    <row r="2461" spans="1:2" x14ac:dyDescent="0.2">
      <c r="A2461" s="1" t="s">
        <v>140</v>
      </c>
      <c r="B2461" s="1" t="str">
        <f ca="1">IFERROR(__xludf.DUMFUNCTION("GOOGLETRANSLATE(A2527,""id"",""en"")"),"Dear entering the Mastiin Hp SPBU area, a minimum of plane mode is afraid to use")</f>
        <v>Dear entering the Mastiin Hp SPBU area, a minimum of plane mode is afraid to use</v>
      </c>
    </row>
    <row r="2462" spans="1:2" x14ac:dyDescent="0.2">
      <c r="A2462" s="1" t="s">
        <v>2376</v>
      </c>
      <c r="B2462" s="1" t="str">
        <f ca="1">IFERROR(__xludf.DUMFUNCTION("GOOGLETRANSLATE(A2528,""id"",""en"")"),"stamp hard  ugly review google play")</f>
        <v>stamp hard  ugly review google play</v>
      </c>
    </row>
    <row r="2463" spans="1:2" x14ac:dyDescent="0.2">
      <c r="A2463" s="1" t="s">
        <v>4374</v>
      </c>
      <c r="B2463" s="1" t="str">
        <f ca="1">IFERROR(__xludf.DUMFUNCTION("GOOGLETRANSLATE(A2529,""id"",""en"")"),"Pertalite Solar Discourse Buying LPG Kg Using  is difficult")</f>
        <v>Pertalite Solar Discourse Buying LPG Kg Using  is difficult</v>
      </c>
    </row>
    <row r="2464" spans="1:2" x14ac:dyDescent="0.2">
      <c r="A2464" s="1" t="s">
        <v>4375</v>
      </c>
      <c r="B2464" s="1" t="str">
        <f ca="1">IFERROR(__xludf.DUMFUNCTION("GOOGLETRANSLATE(A2530,""id"",""en"")"),"You are installed  cellphone")</f>
        <v>You are installed  cellphone</v>
      </c>
    </row>
    <row r="2465" spans="1:2" x14ac:dyDescent="0.2">
      <c r="A2465" s="1" t="s">
        <v>3560</v>
      </c>
      <c r="B2465" s="1" t="str">
        <f ca="1">IFERROR(__xludf.DUMFUNCTION("GOOGLETRANSLATE(A2531,""id"",""en"")"),"Pertalite Buy LPG GAS Kg  Application")</f>
        <v>Pertalite Buy LPG GAS Kg  Application</v>
      </c>
    </row>
    <row r="2466" spans="1:2" x14ac:dyDescent="0.2">
      <c r="A2466" s="1" t="s">
        <v>3560</v>
      </c>
      <c r="B2466" s="1" t="str">
        <f ca="1">IFERROR(__xludf.DUMFUNCTION("GOOGLETRANSLATE(A2532,""id"",""en"")"),"Pertalite Buy LPG GAS Kg  Application")</f>
        <v>Pertalite Buy LPG GAS Kg  Application</v>
      </c>
    </row>
    <row r="2467" spans="1:2" x14ac:dyDescent="0.2">
      <c r="A2467" s="1" t="s">
        <v>4376</v>
      </c>
      <c r="B2467" s="1" t="str">
        <f ca="1">IFERROR(__xludf.DUMFUNCTION("GOOGLETRANSLATE(A2533,""id"",""en"")"),"requirements for residents who subsidized Android mobile iOS quota install app  protected")</f>
        <v>requirements for residents who subsidized Android mobile iOS quota install app  protected</v>
      </c>
    </row>
    <row r="2468" spans="1:2" x14ac:dyDescent="0.2">
      <c r="A2468" s="1" t="s">
        <v>4377</v>
      </c>
      <c r="B2468" s="1" t="str">
        <f ca="1">IFERROR(__xludf.DUMFUNCTION("GOOGLETRANSLATE(A2534,""id"",""en"")"),"Look for valid information, don't make a hook  argument, it's good, the gas station booth offline is confused too, but it doesn't do  if it's already verified.")</f>
        <v>Look for valid information, don't make a hook  argument, it's good, the gas station booth offline is confused too, but it doesn't do  if it's already verified.</v>
      </c>
    </row>
    <row r="2469" spans="1:2" x14ac:dyDescent="0.2">
      <c r="A2469" s="1" t="s">
        <v>4378</v>
      </c>
      <c r="B2469" s="1" t="str">
        <f ca="1">IFERROR(__xludf.DUMFUNCTION("GOOGLETRANSLATE(A2535,""id"",""en"")"),"Pertalite Solar Buy LPG Kg Mandatory List of  Pontianak Pertalite Solar Bbm Gasoline LPG  ")</f>
        <v xml:space="preserve">Pertalite Solar Buy LPG Kg Mandatory List of  Pontianak Pertalite Solar Bbm Gasoline LPG  </v>
      </c>
    </row>
    <row r="2470" spans="1:2" x14ac:dyDescent="0.2">
      <c r="A2470" s="1" t="s">
        <v>4379</v>
      </c>
      <c r="B2470" s="1" t="str">
        <f ca="1">IFERROR(__xludf.DUMFUNCTION("GOOGLETRANSLATE(A2536,""id"",""en"")"),"Kemal Palevi Responsive Wise  Mandatory Community Buy Gasoline Pertalite Solar Application  ")</f>
        <v xml:space="preserve">Kemal Palevi Responsive Wise  Mandatory Community Buy Gasoline Pertalite Solar Application  </v>
      </c>
    </row>
    <row r="2471" spans="1:2" x14ac:dyDescent="0.2">
      <c r="A2471" s="1" t="s">
        <v>4380</v>
      </c>
      <c r="B2471" s="1" t="str">
        <f ca="1">IFERROR(__xludf.DUMFUNCTION("GOOGLETRANSLATE(A2537,""id"",""en"")")," Community Data Safe Registration Website Buy Fuel Fuel Fuel Fuel Fuel Solar   Pertalite Solar Jokowi Cekulumedcom")</f>
        <v xml:space="preserve"> Community Data Safe Registration Website Buy Fuel Fuel Fuel Fuel Fuel Solar   Pertalite Solar Jokowi Cekulumedcom</v>
      </c>
    </row>
    <row r="2472" spans="1:2" x14ac:dyDescent="0.2">
      <c r="A2472" s="1" t="s">
        <v>4381</v>
      </c>
      <c r="B2472" s="1" t="str">
        <f ca="1">IFERROR(__xludf.DUMFUNCTION("GOOGLETRANSLATE(A2538,""id"",""en"")"),"Hola Indonesian people advanced prosperous riweuh riweuh sm  application mending checks facts yes le")</f>
        <v>Hola Indonesian people advanced prosperous riweuh riweuh sm  application mending checks facts yes le</v>
      </c>
    </row>
    <row r="2473" spans="1:2" x14ac:dyDescent="0.2">
      <c r="A2473" s="1" t="s">
        <v>4382</v>
      </c>
      <c r="B2473" s="1" t="str">
        <f ca="1">IFERROR(__xludf.DUMFUNCTION("GOOGLETRANSLATE(A2539,""id"",""en"")"),"access to  application buy fuel subsidized internet access")</f>
        <v>access to  application buy fuel subsidized internet access</v>
      </c>
    </row>
    <row r="2474" spans="1:2" x14ac:dyDescent="0.2">
      <c r="A2474" s="1" t="s">
        <v>4383</v>
      </c>
      <c r="B2474" s="1" t="str">
        <f ca="1">IFERROR(__xludf.DUMFUNCTION("GOOGLETRANSLATE(A2540,""id"",""en"")"),"Come on netizens level literacy, yes,  application innovation is aimed at the Masyara BBM subsidy")</f>
        <v>Come on netizens level literacy, yes,  application innovation is aimed at the Masyara BBM subsidy</v>
      </c>
    </row>
    <row r="2475" spans="1:2" x14ac:dyDescent="0.2">
      <c r="A2475" s="1" t="s">
        <v>4345</v>
      </c>
      <c r="B2475" s="1" t="str">
        <f ca="1">IFERROR(__xludf.DUMFUNCTION("GOOGLETRANSLATE(A2541,""id"",""en"")"),"  Application Becomes a Sasar BBM Subsidy")</f>
        <v xml:space="preserve">  Application Becomes a Sasar BBM Subsidy</v>
      </c>
    </row>
    <row r="2476" spans="1:2" x14ac:dyDescent="0.2">
      <c r="A2476" s="1" t="s">
        <v>4384</v>
      </c>
      <c r="B2476" s="1" t="str">
        <f ca="1">IFERROR(__xludf.DUMFUNCTION("GOOGLETRANSLATE(A2542,""id"",""en"")"),"try to buy BBM using  seribet who is shadow if it's better to move the bow shell vivo car")</f>
        <v>try to buy BBM using  seribet who is shadow if it's better to move the bow shell vivo car</v>
      </c>
    </row>
    <row r="2477" spans="1:2" x14ac:dyDescent="0.2">
      <c r="A2477" s="1" t="s">
        <v>4385</v>
      </c>
      <c r="B2477" s="1" t="str">
        <f ca="1">IFERROR(__xludf.DUMFUNCTION("GOOGLETRANSLATE(A2543,""id"",""en"")"),"info on the consumption of Pertalite Solar Subsidies of the Vehrar's Application of   Apply APP  Limits")</f>
        <v>info on the consumption of Pertalite Solar Subsidies of the Vehrar's Application of   Apply APP  Limits</v>
      </c>
    </row>
    <row r="2478" spans="1:2" x14ac:dyDescent="0.2">
      <c r="A2478" s="1" t="s">
        <v>4386</v>
      </c>
      <c r="B2478" s="1" t="str">
        <f ca="1">IFERROR(__xludf.DUMFUNCTION("GOOGLETRANSLATE(A2544,""id"",""en"")"),"Just wait for the gas station to pee using the  app")</f>
        <v>Just wait for the gas station to pee using the  app</v>
      </c>
    </row>
    <row r="2479" spans="1:2" x14ac:dyDescent="0.2">
      <c r="A2479" s="1" t="s">
        <v>4387</v>
      </c>
      <c r="B2479" s="1" t="str">
        <f ca="1">IFERROR(__xludf.DUMFUNCTION("GOOGLETRANSLATE(A2545,""id"",""en"")"),"wrong function of  application eradicating rich people using luxury cars when entering a poor gas station")</f>
        <v>wrong function of  application eradicating rich people using luxury cars when entering a poor gas station</v>
      </c>
    </row>
    <row r="2480" spans="1:2" x14ac:dyDescent="0.2">
      <c r="A2480" s="1" t="s">
        <v>3868</v>
      </c>
      <c r="B2480" s="1" t="str">
        <f ca="1">IFERROR(__xludf.DUMFUNCTION("GOOGLETRANSLATE(A2546,""id"",""en"")")," Application Keep Meter Aytalk Smartconsumer ")</f>
        <v xml:space="preserve"> Application Keep Meter Aytalk Smartconsumer </v>
      </c>
    </row>
    <row r="2481" spans="1:2" x14ac:dyDescent="0.2">
      <c r="A2481" s="1" t="s">
        <v>4339</v>
      </c>
      <c r="B2481" s="1" t="str">
        <f ca="1">IFERROR(__xludf.DUMFUNCTION("GOOGLETRANSLATE(A2547,""id"",""en"")"),"Smart Marketing ")</f>
        <v xml:space="preserve">Smart Marketing </v>
      </c>
    </row>
    <row r="2482" spans="1:2" x14ac:dyDescent="0.2">
      <c r="A2482" s="1" t="s">
        <v>4388</v>
      </c>
      <c r="B2482" s="1" t="str">
        <f ca="1">IFERROR(__xludf.DUMFUNCTION("GOOGLETRANSLATE(A2548,""id"",""en"")"),"Yogyakarta City gas station uses the  application to buy BBM Plans to sell July   Pertalite Solar Cekulumedcom")</f>
        <v>Yogyakarta City gas station uses the  application to buy BBM Plans to sell July   Pertalite Solar Cekulumedcom</v>
      </c>
    </row>
    <row r="2483" spans="1:2" x14ac:dyDescent="0.2">
      <c r="A2483" s="1" t="s">
        <v>4389</v>
      </c>
      <c r="B2483" s="1" t="str">
        <f ca="1">IFERROR(__xludf.DUMFUNCTION("GOOGLETRANSLATE(A2549,""id"",""en"")"),"I'm confused that the country of wakanda entered the mall caring for the hedge of the ship pak ferizi buying pertalite using  linkaja state to sell the application")</f>
        <v>I'm confused that the country of wakanda entered the mall caring for the hedge of the ship pak ferizi buying pertalite using  linkaja state to sell the application</v>
      </c>
    </row>
    <row r="2484" spans="1:2" x14ac:dyDescent="0.2">
      <c r="A2484" s="1" t="s">
        <v>4390</v>
      </c>
      <c r="B2484" s="1" t="str">
        <f ca="1">IFERROR(__xludf.DUMFUNCTION("GOOGLETRANSLATE(A2550,""id"",""en"")"),"say the pro -small command you use the  application to buy fuel subsidized proof of the people who are competitive to use the brain do not use knee")</f>
        <v>say the pro -small command you use the  application to buy fuel subsidized proof of the people who are competitive to use the brain do not use knee</v>
      </c>
    </row>
    <row r="2485" spans="1:2" x14ac:dyDescent="0.2">
      <c r="A2485" s="1" t="s">
        <v>4391</v>
      </c>
      <c r="B2485" s="1" t="str">
        <f ca="1">IFERROR(__xludf.DUMFUNCTION("GOOGLETRANSLATE(A2551,""id"",""en"")"),"The Official  application Download Install Google Play Store App Store Official Application Yes, Sob  Call Subsidite")</f>
        <v>The Official  application Download Install Google Play Store App Store Official Application Yes, Sob  Call Subsidite</v>
      </c>
    </row>
    <row r="2486" spans="1:2" x14ac:dyDescent="0.2">
      <c r="A2486" s="1" t="s">
        <v>4392</v>
      </c>
      <c r="B2486" s="1" t="str">
        <f ca="1">IFERROR(__xludf.DUMFUNCTION("GOOGLETRANSLATE(A2552,""id"",""en"")"),"friend, you know, the official application of   Call Subsiditaspas")</f>
        <v>friend, you know, the official application of   Call Subsiditaspas</v>
      </c>
    </row>
    <row r="2487" spans="1:2" x14ac:dyDescent="0.2">
      <c r="A2487" s="1" t="s">
        <v>4393</v>
      </c>
      <c r="B2487" s="1" t="str">
        <f ca="1">IFERROR(__xludf.DUMFUNCTION("GOOGLETRANSLATE(A2553,""id"",""en"")"),"Buy Pertalite Solar Tight Mandatory Consumers List  Mobile")</f>
        <v>Buy Pertalite Solar Tight Mandatory Consumers List  Mobile</v>
      </c>
    </row>
    <row r="2488" spans="1:2" x14ac:dyDescent="0.2">
      <c r="A2488" s="1" t="s">
        <v>4394</v>
      </c>
      <c r="B2488" s="1" t="str">
        <f ca="1">IFERROR(__xludf.DUMFUNCTION("GOOGLETRANSLATE(A2554,""id"",""en"")"),"the community of the  application account transaction buying a solar settings for the SPBU SPULY LOVE")</f>
        <v>the community of the  application account transaction buying a solar settings for the SPBU SPULY LOVE</v>
      </c>
    </row>
    <row r="2489" spans="1:2" x14ac:dyDescent="0.2">
      <c r="A2489" s="1" t="s">
        <v>4395</v>
      </c>
      <c r="B2489" s="1" t="str">
        <f ca="1">IFERROR(__xludf.DUMFUNCTION("GOOGLETRANSLATE(A2555,""id"",""en"")"),"the country knows the activities of the citizens to go where you have to care about the protection of the gasoline.")</f>
        <v>the country knows the activities of the citizens to go where you have to care about the protection of the gasoline.</v>
      </c>
    </row>
    <row r="2490" spans="1:2" x14ac:dyDescent="0.2">
      <c r="A2490" s="1" t="s">
        <v>4396</v>
      </c>
      <c r="B2490" s="1" t="str">
        <f ca="1">IFERROR(__xludf.DUMFUNCTION("GOOGLETRANSLATE(A2556,""id"",""en"")"),"Yes, I bought bengsin  free postage of Indonesia, send directly a house")</f>
        <v>Yes, I bought bengsin  free postage of Indonesia, send directly a house</v>
      </c>
    </row>
    <row r="2491" spans="1:2" x14ac:dyDescent="0.2">
      <c r="A2491" s="1" t="s">
        <v>4397</v>
      </c>
      <c r="B2491" s="1" t="str">
        <f ca="1">IFERROR(__xludf.DUMFUNCTION("GOOGLETRANSLATE(A2557,""id"",""en"")"),"buy subsidized fuel using the  application difficult people")</f>
        <v>buy subsidized fuel using the  application difficult people</v>
      </c>
    </row>
    <row r="2492" spans="1:2" x14ac:dyDescent="0.2">
      <c r="A2492" s="1" t="s">
        <v>4398</v>
      </c>
      <c r="B2492" s="1" t="str">
        <f ca="1">IFERROR(__xludf.DUMFUNCTION("GOOGLETRANSLATE(A2558,""id"",""en"")"),"try installing the  application confused to buy the integration of the contents of the balance according to those who pay forced to use links, the Salang Sedaran Subsidy Data is to understand complicated")</f>
        <v>try installing the  application confused to buy the integration of the contents of the balance according to those who pay forced to use links, the Salang Sedaran Subsidy Data is to understand complicated</v>
      </c>
    </row>
    <row r="2493" spans="1:2" x14ac:dyDescent="0.2">
      <c r="A2493" s="1" t="s">
        <v>4399</v>
      </c>
      <c r="B2493" s="1" t="str">
        <f ca="1">IFERROR(__xludf.DUMFUNCTION("GOOGLETRANSLATE(A2559,""id"",""en"")"),"weh pertalite buy lpg kg list ")</f>
        <v xml:space="preserve">weh pertalite buy lpg kg list </v>
      </c>
    </row>
    <row r="2494" spans="1:2" x14ac:dyDescent="0.2">
      <c r="A2494" s="1" t="s">
        <v>4400</v>
      </c>
      <c r="B2494" s="1" t="str">
        <f ca="1">IFERROR(__xludf.DUMFUNCTION("GOOGLETRANSLATE(A2560,""id"",""en"")"),"Yes, use to pay for PERTALITE SPBU The  Application is available Moodbooster features Online Superior Hearing Judgemental")</f>
        <v>Yes, use to pay for PERTALITE SPBU The  Application is available Moodbooster features Online Superior Hearing Judgemental</v>
      </c>
    </row>
    <row r="2495" spans="1:2" x14ac:dyDescent="0.2">
      <c r="A2495" s="1" t="s">
        <v>4401</v>
      </c>
      <c r="B2495" s="1" t="str">
        <f ca="1">IFERROR(__xludf.DUMFUNCTION("GOOGLETRANSLATE(A2561,""id"",""en"")")," Order Test Plan for Buying BBM Subsidies Pertalite Solar Consumer List of  Systems Documents Complete Complete Stage List")</f>
        <v xml:space="preserve"> Order Test Plan for Buying BBM Subsidies Pertalite Solar Consumer List of  Systems Documents Complete Complete Stage List</v>
      </c>
    </row>
    <row r="2496" spans="1:2" x14ac:dyDescent="0.2">
      <c r="A2496" s="1" t="s">
        <v>992</v>
      </c>
      <c r="B2496" s="1" t="str">
        <f ca="1">IFERROR(__xludf.DUMFUNCTION("GOOGLETRANSLATE(A2562,""id"",""en"")"),"if you buy using a good application  prepare a courier so you don't lose")</f>
        <v>if you buy using a good application  prepare a courier so you don't lose</v>
      </c>
    </row>
    <row r="2497" spans="1:2" x14ac:dyDescent="0.2">
      <c r="A2497" s="1" t="s">
        <v>4402</v>
      </c>
      <c r="B2497" s="1" t="str">
        <f ca="1">IFERROR(__xludf.DUMFUNCTION("GOOGLETRANSLATE(A2563,""id"",""en"")"),"Fill in Pertalite List of  Organda Jabar Socialization immediately sells")</f>
        <v>Fill in Pertalite List of  Organda Jabar Socialization immediately sells</v>
      </c>
    </row>
    <row r="2498" spans="1:2" x14ac:dyDescent="0.2">
      <c r="A2498" s="1" t="s">
        <v>4403</v>
      </c>
      <c r="B2498" s="1" t="str">
        <f ca="1">IFERROR(__xludf.DUMFUNCTION("GOOGLETRANSLATE(A2564,""id"",""en"")"),"Buy BBM Using the  Application Application Name Bring Cashbac Untung")</f>
        <v>Buy BBM Using the  Application Application Name Bring Cashbac Untung</v>
      </c>
    </row>
    <row r="2499" spans="1:2" x14ac:dyDescent="0.2">
      <c r="A2499" s="1" t="s">
        <v>4404</v>
      </c>
      <c r="B2499" s="1" t="str">
        <f ca="1">IFERROR(__xludf.DUMFUNCTION("GOOGLETRANSLATE(A2565,""id"",""en"")")," Application BYK Untung")</f>
        <v xml:space="preserve"> Application BYK Untung</v>
      </c>
    </row>
    <row r="2500" spans="1:2" x14ac:dyDescent="0.2">
      <c r="A2500" s="1" t="s">
        <v>141</v>
      </c>
      <c r="B2500" s="1" t="str">
        <f ca="1">IFERROR(__xludf.DUMFUNCTION("GOOGLETRANSLATE(A2566,""id"",""en"")"),"Tomorrow, buy using the application")</f>
        <v>Tomorrow, buy using the application</v>
      </c>
    </row>
    <row r="2501" spans="1:2" x14ac:dyDescent="0.2">
      <c r="A2501" s="1" t="s">
        <v>142</v>
      </c>
      <c r="B2501" s="1" t="str">
        <f ca="1">IFERROR(__xludf.DUMFUNCTION("GOOGLETRANSLATE(A2567,""id"",""en"")"),"Indonesian Consumer Institution Foundation Suggestions for commands for the BBC News Indonesia Publishest Data Buying Data Application")</f>
        <v>Indonesian Consumer Institution Foundation Suggestions for commands for the BBC News Indonesia Publishest Data Buying Data Application</v>
      </c>
    </row>
    <row r="2502" spans="1:2" x14ac:dyDescent="0.2">
      <c r="A2502" s="1" t="s">
        <v>4405</v>
      </c>
      <c r="B2502" s="1" t="str">
        <f ca="1">IFERROR(__xludf.DUMFUNCTION("GOOGLETRANSLATE(A2568,""id"",""en"")"),"Buy Migor Using Pedulilat Protected Buy Gasoline Using , it's a champion if you bother the residents")</f>
        <v>Buy Migor Using Pedulilat Protected Buy Gasoline Using , it's a champion if you bother the residents</v>
      </c>
    </row>
    <row r="2503" spans="1:2" x14ac:dyDescent="0.2">
      <c r="A2503" s="1" t="s">
        <v>4406</v>
      </c>
      <c r="B2503" s="1" t="str">
        <f ca="1">IFERROR(__xludf.DUMFUNCTION("GOOGLETRANSLATE(A2569,""id"",""en"")"),"Kecoh Buy Pertalite Solar Not Download the  Application")</f>
        <v>Kecoh Buy Pertalite Solar Not Download the  Application</v>
      </c>
    </row>
    <row r="2504" spans="1:2" x14ac:dyDescent="0.2">
      <c r="A2504" s="1" t="s">
        <v>4407</v>
      </c>
      <c r="B2504" s="1" t="str">
        <f ca="1">IFERROR(__xludf.DUMFUNCTION("GOOGLETRANSLATE(A2570,""id"",""en"")"),"Record the list of  application to buy fuel subsidies pertalite solar")</f>
        <v>Record the list of  application to buy fuel subsidies pertalite solar</v>
      </c>
    </row>
    <row r="2505" spans="1:2" x14ac:dyDescent="0.2">
      <c r="A2505" s="1" t="s">
        <v>4408</v>
      </c>
      <c r="B2505" s="1" t="str">
        <f ca="1">IFERROR(__xludf.DUMFUNCTION("GOOGLETRANSLATE(A2571,""id"",""en"")"),"not complicated list  application buy pertalite July")</f>
        <v>not complicated list  application buy pertalite July</v>
      </c>
    </row>
    <row r="2506" spans="1:2" x14ac:dyDescent="0.2">
      <c r="A2506" s="1" t="s">
        <v>4409</v>
      </c>
      <c r="B2506" s="1" t="str">
        <f ca="1">IFERROR(__xludf.DUMFUNCTION("GOOGLETRANSLATE(A2572,""id"",""en"")"),"already buzzerp ")</f>
        <v xml:space="preserve">already buzzerp </v>
      </c>
    </row>
    <row r="2507" spans="1:2" x14ac:dyDescent="0.2">
      <c r="A2507" s="1" t="s">
        <v>4410</v>
      </c>
      <c r="B2507" s="1" t="str">
        <f ca="1">IFERROR(__xludf.DUMFUNCTION("GOOGLETRANSLATE(A2573,""id"",""en"")"),"If the suggestion to withdraw public interest in the application of  moodboster features online apps")</f>
        <v>If the suggestion to withdraw public interest in the application of  moodboster features online apps</v>
      </c>
    </row>
    <row r="2508" spans="1:2" x14ac:dyDescent="0.2">
      <c r="A2508" s="1" t="s">
        <v>4411</v>
      </c>
      <c r="B2508" s="1" t="str">
        <f ca="1">IFERROR(__xludf.DUMFUNCTION("GOOGLETRANSLATE(A2574,""id"",""en"")"),"say buying subsidized fuel using the  application, don't check correctly")</f>
        <v>say buying subsidized fuel using the  application, don't check correctly</v>
      </c>
    </row>
    <row r="2509" spans="1:2" x14ac:dyDescent="0.2">
      <c r="A2509" s="1" t="s">
        <v>4412</v>
      </c>
      <c r="B2509" s="1" t="str">
        <f ca="1">IFERROR(__xludf.DUMFUNCTION("GOOGLETRANSLATE(A2575,""id"",""en"")"),"gas stations pay using  list of regency cities entering trials")</f>
        <v>gas stations pay using  list of regency cities entering trials</v>
      </c>
    </row>
    <row r="2510" spans="1:2" x14ac:dyDescent="0.2">
      <c r="A2510" s="1" t="s">
        <v>4413</v>
      </c>
      <c r="B2510" s="1" t="str">
        <f ca="1">IFERROR(__xludf.DUMFUNCTION("GOOGLETRANSLATE(A2576,""id"",""en"")"),"Answer the State of API Serang Jend Wakandastan Land Genting ")</f>
        <v xml:space="preserve">Answer the State of API Serang Jend Wakandastan Land Genting </v>
      </c>
    </row>
    <row r="2511" spans="1:2" x14ac:dyDescent="0.2">
      <c r="A2511" s="1" t="s">
        <v>2373</v>
      </c>
      <c r="B2511" s="1" t="str">
        <f ca="1">IFERROR(__xludf.DUMFUNCTION("GOOGLETRANSLATE(A2577,""id"",""en"")"),"Pertalite Buy Lpg Kg List ")</f>
        <v xml:space="preserve">Pertalite Buy Lpg Kg List </v>
      </c>
    </row>
    <row r="2512" spans="1:2" x14ac:dyDescent="0.2">
      <c r="A2512" s="1" t="s">
        <v>4414</v>
      </c>
      <c r="B2512" s="1" t="str">
        <f ca="1">IFERROR(__xludf.DUMFUNCTION("GOOGLETRANSLATE(A2578,""id"",""en"")"),"fortunately using  one of the discounts, you know")</f>
        <v>fortunately using  one of the discounts, you know</v>
      </c>
    </row>
    <row r="2513" spans="1:2" x14ac:dyDescent="0.2">
      <c r="A2513" s="1" t="s">
        <v>4415</v>
      </c>
      <c r="B2513" s="1" t="str">
        <f ca="1">IFERROR(__xludf.DUMFUNCTION("GOOGLETRANSLATE(A2579,""id"",""en"")"),"Easy FREE List  Buy Bbm Complete Subsidies Link Download Application")</f>
        <v>Easy FREE List  Buy Bbm Complete Subsidies Link Download Application</v>
      </c>
    </row>
    <row r="2514" spans="1:2" x14ac:dyDescent="0.2">
      <c r="A2514" s="1" t="s">
        <v>4416</v>
      </c>
      <c r="B2514" s="1" t="str">
        <f ca="1">IFERROR(__xludf.DUMFUNCTION("GOOGLETRANSLATE(A2580,""id"",""en"")"),"Buy BBM Subsidies Type of Pertalite Solar Set Salang Society Buy Pertalite Solar List List of  Applications")</f>
        <v>Buy BBM Subsidies Type of Pertalite Solar Set Salang Society Buy Pertalite Solar List List of  Applications</v>
      </c>
    </row>
    <row r="2515" spans="1:2" x14ac:dyDescent="0.2">
      <c r="A2515" s="1" t="s">
        <v>143</v>
      </c>
      <c r="B2515" s="1" t="str">
        <f ca="1">IFERROR(__xludf.DUMFUNCTION("GOOGLETRANSLATE(A2581,""id"",""en"")"),"POINTS BUY BBM Exchange Type Reward Untung Yan")</f>
        <v>POINTS BUY BBM Exchange Type Reward Untung Yan</v>
      </c>
    </row>
    <row r="2516" spans="1:2" x14ac:dyDescent="0.2">
      <c r="A2516" s="1" t="s">
        <v>3966</v>
      </c>
      <c r="B2516" s="1" t="str">
        <f ca="1">IFERROR(__xludf.DUMFUNCTION("GOOGLETRANSLATE(A2582,""id"",""en"")"),"buy subsidized fuel using  rudi hartono difficult people")</f>
        <v>buy subsidized fuel using  rudi hartono difficult people</v>
      </c>
    </row>
    <row r="2517" spans="1:2" x14ac:dyDescent="0.2">
      <c r="A2517" s="1" t="s">
        <v>4404</v>
      </c>
      <c r="B2517" s="1" t="str">
        <f ca="1">IFERROR(__xludf.DUMFUNCTION("GOOGLETRANSLATE(A2583,""id"",""en"")")," Application BYK Untung")</f>
        <v xml:space="preserve"> Application BYK Untung</v>
      </c>
    </row>
    <row r="2518" spans="1:2" x14ac:dyDescent="0.2">
      <c r="A2518" s="1" t="s">
        <v>4417</v>
      </c>
      <c r="B2518" s="1" t="str">
        <f ca="1">IFERROR(__xludf.DUMFUNCTION("GOOGLETRANSLATE(A2584,""id"",""en"")"),"Kalas Microsoft Office, I am in the  application, wkwkwk")</f>
        <v>Kalas Microsoft Office, I am in the  application, wkwkwk</v>
      </c>
    </row>
    <row r="2519" spans="1:2" x14ac:dyDescent="0.2">
      <c r="A2519" s="1" t="s">
        <v>4418</v>
      </c>
      <c r="B2519" s="1" t="str">
        <f ca="1">IFERROR(__xludf.DUMFUNCTION("GOOGLETRANSLATE(A2585,""id"",""en"")"),"DPR BUYING PROGRAMS PASITY USING  NEED TOWARD")</f>
        <v>DPR BUYING PROGRAMS PASITY USING  NEED TOWARD</v>
      </c>
    </row>
    <row r="2520" spans="1:2" x14ac:dyDescent="0.2">
      <c r="A2520" s="1" t="s">
        <v>4419</v>
      </c>
      <c r="B2520" s="1" t="str">
        <f ca="1">IFERROR(__xludf.DUMFUNCTION("GOOGLETRANSLATE(A2586,""id"",""en"")"),"July the contents of the city gasoline must use the   application")</f>
        <v>July the contents of the city gasoline must use the   application</v>
      </c>
    </row>
    <row r="2521" spans="1:2" x14ac:dyDescent="0.2">
      <c r="A2521" s="1" t="s">
        <v>4420</v>
      </c>
      <c r="B2521" s="1" t="str">
        <f ca="1">IFERROR(__xludf.DUMFUNCTION("GOOGLETRANSLATE(A2587,""id"",""en"")"),"hello, sister, admin, if you buy a nominal , minimum balian")</f>
        <v>hello, sister, admin, if you buy a nominal , minimum balian</v>
      </c>
    </row>
    <row r="2522" spans="1:2" x14ac:dyDescent="0.2">
      <c r="A2522" s="1" t="s">
        <v>144</v>
      </c>
      <c r="B2522" s="1" t="str">
        <f ca="1">IFERROR(__xludf.DUMFUNCTION("GOOGLETRANSLATE(A2588,""id"",""en"")"),"Selling Premium Application Netflix Spotify Disney Hotstar Viu Wetv Youtube Vidio Iqiyi HBO GO WARRANTY")</f>
        <v>Selling Premium Application Netflix Spotify Disney Hotstar Viu Wetv Youtube Vidio Iqiyi HBO GO WARRANTY</v>
      </c>
    </row>
    <row r="2523" spans="1:2" x14ac:dyDescent="0.2">
      <c r="A2523" s="1" t="s">
        <v>4421</v>
      </c>
      <c r="B2523" s="1" t="str">
        <f ca="1">IFERROR(__xludf.DUMFUNCTION("GOOGLETRANSLATE(A2589,""id"",""en"")"),"Pertalite Solar Fuel Type  List")</f>
        <v>Pertalite Solar Fuel Type  List</v>
      </c>
    </row>
    <row r="2524" spans="1:2" x14ac:dyDescent="0.2">
      <c r="A2524" s="1" t="s">
        <v>4422</v>
      </c>
      <c r="B2524" s="1" t="str">
        <f ca="1">IFERROR(__xludf.DUMFUNCTION("GOOGLETRANSLATE(A2590,""id"",""en"")"),"how to download apk ")</f>
        <v xml:space="preserve">how to download apk </v>
      </c>
    </row>
    <row r="2525" spans="1:2" x14ac:dyDescent="0.2">
      <c r="A2525" s="1" t="s">
        <v>4423</v>
      </c>
      <c r="B2525" s="1" t="str">
        <f ca="1">IFERROR(__xludf.DUMFUNCTION("GOOGLETRANSLATE(A2591,""id"",""en"")"),"just pay for the school tuppies list appk  kntl")</f>
        <v>just pay for the school tuppies list appk  kntl</v>
      </c>
    </row>
    <row r="2526" spans="1:2" x14ac:dyDescent="0.2">
      <c r="A2526" s="1" t="s">
        <v>4424</v>
      </c>
      <c r="B2526" s="1" t="str">
        <f ca="1">IFERROR(__xludf.DUMFUNCTION("GOOGLETRANSLATE(A2592,""id"",""en"")"),"against  but protected")</f>
        <v>against  but protected</v>
      </c>
    </row>
    <row r="2527" spans="1:2" x14ac:dyDescent="0.2">
      <c r="A2527" s="1" t="s">
        <v>4425</v>
      </c>
      <c r="B2527" s="1" t="str">
        <f ca="1">IFERROR(__xludf.DUMFUNCTION("GOOGLETRANSLATE(A2593,""id"",""en"")"),"PT  Patra Niaga Open the Identity List of the  Website Identity July List Use Qr Code Buy BBM Subsidies  SPBU")</f>
        <v>PT  Patra Niaga Open the Identity List of the  Website Identity July List Use Qr Code Buy BBM Subsidies  SPBU</v>
      </c>
    </row>
    <row r="2528" spans="1:2" x14ac:dyDescent="0.2">
      <c r="A2528" s="1" t="s">
        <v>4426</v>
      </c>
      <c r="B2528" s="1" t="str">
        <f ca="1">IFERROR(__xludf.DUMFUNCTION("GOOGLETRANSLATE(A2594,""id"",""en"")"),"HOAKS NIGHT SOLO TRUE TRUE BUY PERTALITE SOLAR USING ")</f>
        <v xml:space="preserve">HOAKS NIGHT SOLO TRUE TRUE BUY PERTALITE SOLAR USING </v>
      </c>
    </row>
    <row r="2529" spans="1:2" x14ac:dyDescent="0.2">
      <c r="A2529" s="1" t="s">
        <v>3469</v>
      </c>
      <c r="B2529" s="1" t="str">
        <f ca="1">IFERROR(__xludf.DUMFUNCTION("GOOGLETRANSLATE(A2596,""id"",""en"")"),"Buy Pertalite Solar Using  Safe Data Guarantee")</f>
        <v>Buy Pertalite Solar Using  Safe Data Guarantee</v>
      </c>
    </row>
    <row r="2530" spans="1:2" x14ac:dyDescent="0.2">
      <c r="A2530" s="1" t="s">
        <v>4427</v>
      </c>
      <c r="B2530" s="1" t="str">
        <f ca="1">IFERROR(__xludf.DUMFUNCTION("GOOGLETRANSLATE(A2598,""id"",""en"")"),"Buy  Information Transactions False  Innovation Public Net Receiving Fuel Subsidies")</f>
        <v>Buy  Information Transactions False  Innovation Public Net Receiving Fuel Subsidies</v>
      </c>
    </row>
    <row r="2531" spans="1:2" x14ac:dyDescent="0.2">
      <c r="A2531" s="1" t="s">
        <v>4428</v>
      </c>
      <c r="B2531" s="1" t="str">
        <f ca="1">IFERROR(__xludf.DUMFUNCTION("GOOGLETRANSLATE(A2599,""id"",""en"")"),"Corporate Secretary of PT  Patra Niaga Irto Ginting Principle Date July Pasuk List of  Website Subsiditaspas ")</f>
        <v xml:space="preserve">Corporate Secretary of PT  Patra Niaga Irto Ginting Principle Date July Pasuk List of  Website Subsiditaspas </v>
      </c>
    </row>
    <row r="2532" spans="1:2" x14ac:dyDescent="0.2">
      <c r="A2532" s="1" t="s">
        <v>4429</v>
      </c>
      <c r="B2532" s="1" t="str">
        <f ca="1">IFERROR(__xludf.DUMFUNCTION("GOOGLETRANSLATE(A2600,""id"",""en"")")," Mandatory Community  application requirements for buying fuel subsidies from Pertalite Solar Wiliayah Indonesia")</f>
        <v xml:space="preserve"> Mandatory Community  application requirements for buying fuel subsidies from Pertalite Solar Wiliayah Indonesia</v>
      </c>
    </row>
    <row r="2533" spans="1:2" x14ac:dyDescent="0.2">
      <c r="A2533" s="1" t="s">
        <v>4184</v>
      </c>
      <c r="B2533" s="1" t="str">
        <f ca="1">IFERROR(__xludf.DUMFUNCTION("GOOGLETRANSLATE(A2601,""id"",""en"")"),"Tuju Guna  minimizes the wrong Salur Salur type BBM subsidies Pertalite Solar. Assess more wheel vehicle with CC engine capacity")</f>
        <v>Tuju Guna  minimizes the wrong Salur Salur type BBM subsidies Pertalite Solar. Assess more wheel vehicle with CC engine capacity</v>
      </c>
    </row>
    <row r="2534" spans="1:2" x14ac:dyDescent="0.2">
      <c r="A2534" s="1" t="s">
        <v>4430</v>
      </c>
      <c r="B2534" s="1" t="str">
        <f ca="1">IFERROR(__xludf.DUMFUNCTION("GOOGLETRANSLATE(A2602,""id"",""en"")"),"bad ni ")</f>
        <v xml:space="preserve">bad ni </v>
      </c>
    </row>
    <row r="2535" spans="1:2" x14ac:dyDescent="0.2">
      <c r="A2535" s="1" t="s">
        <v>4431</v>
      </c>
      <c r="B2535" s="1" t="str">
        <f ca="1">IFERROR(__xludf.DUMFUNCTION("GOOGLETRANSLATE(A2603,""id"",""en"")")," application comes the form of appreciation for the loyal organization of  Untung's products")</f>
        <v xml:space="preserve"> application comes the form of appreciation for the loyal organization of  Untung's products</v>
      </c>
    </row>
    <row r="2536" spans="1:2" x14ac:dyDescent="0.2">
      <c r="A2536" s="1" t="s">
        <v>145</v>
      </c>
      <c r="B2536" s="1" t="str">
        <f ca="1">IFERROR(__xludf.DUMFUNCTION("GOOGLETRANSLATE(A2604,""id"",""en"")"),"use print Qrcode")</f>
        <v>use print Qrcode</v>
      </c>
    </row>
    <row r="2537" spans="1:2" x14ac:dyDescent="0.2">
      <c r="A2537" s="1" t="s">
        <v>4184</v>
      </c>
      <c r="B2537" s="1" t="str">
        <f ca="1">IFERROR(__xludf.DUMFUNCTION("GOOGLETRANSLATE(A2605,""id"",""en"")"),"Tuju Guna  minimizes the wrong Salur Salur type BBM subsidies Pertalite Solar. Assess more wheel vehicle with CC engine capacity")</f>
        <v>Tuju Guna  minimizes the wrong Salur Salur type BBM subsidies Pertalite Solar. Assess more wheel vehicle with CC engine capacity</v>
      </c>
    </row>
    <row r="2538" spans="1:2" x14ac:dyDescent="0.2">
      <c r="A2538" s="1" t="s">
        <v>4432</v>
      </c>
      <c r="B2538" s="1" t="str">
        <f ca="1">IFERROR(__xludf.DUMFUNCTION("GOOGLETRANSLATE(A2606,""id"",""en"")"),"Motorcycle List  Website Tutur Brasto Galih Nugroho Area Manager of Java PT  Patra Niaga Let's see the video voksupdate voksradiojogja ")</f>
        <v xml:space="preserve">Motorcycle List  Website Tutur Brasto Galih Nugroho Area Manager of Java PT  Patra Niaga Let's see the video voksupdate voksradiojogja </v>
      </c>
    </row>
    <row r="2539" spans="1:2" x14ac:dyDescent="0.2">
      <c r="A2539" s="1" t="s">
        <v>4433</v>
      </c>
      <c r="B2539" s="1" t="str">
        <f ca="1">IFERROR(__xludf.DUMFUNCTION("GOOGLETRANSLATE(A2607,""id"",""en"")"),"Buy Pertalite Solar Mandatory The  Application Buy BBM Community Mem")</f>
        <v>Buy Pertalite Solar Mandatory The  Application Buy BBM Community Mem</v>
      </c>
    </row>
    <row r="2540" spans="1:2" x14ac:dyDescent="0.2">
      <c r="A2540" s="1" t="s">
        <v>4184</v>
      </c>
      <c r="B2540" s="1" t="str">
        <f ca="1">IFERROR(__xludf.DUMFUNCTION("GOOGLETRANSLATE(A2608,""id"",""en"")"),"Tuju Guna  minimizes the wrong Salur Salur type BBM subsidies Pertalite Solar. Assess more wheel vehicle with CC engine capacity")</f>
        <v>Tuju Guna  minimizes the wrong Salur Salur type BBM subsidies Pertalite Solar. Assess more wheel vehicle with CC engine capacity</v>
      </c>
    </row>
    <row r="2541" spans="1:2" x14ac:dyDescent="0.2">
      <c r="A2541" s="1" t="s">
        <v>2373</v>
      </c>
      <c r="B2541" s="1" t="str">
        <f ca="1">IFERROR(__xludf.DUMFUNCTION("GOOGLETRANSLATE(A2609,""id"",""en"")"),"Pertalite Buy Lpg Kg List ")</f>
        <v xml:space="preserve">Pertalite Buy Lpg Kg List </v>
      </c>
    </row>
    <row r="2542" spans="1:2" x14ac:dyDescent="0.2">
      <c r="A2542" s="1" t="s">
        <v>3764</v>
      </c>
      <c r="B2542" s="1" t="str">
        <f ca="1">IFERROR(__xludf.DUMFUNCTION("GOOGLETRANSLATE(A2610,""id"",""en"")")," is difficult for the people to buy BBM subsidies for public subsidies for smartphone subsidized fuel for access to  applications Socialization of educational education is the system.")</f>
        <v xml:space="preserve"> is difficult for the people to buy BBM subsidies for public subsidies for smartphone subsidized fuel for access to  applications Socialization of educational education is the system.</v>
      </c>
    </row>
    <row r="2543" spans="1:2" x14ac:dyDescent="0.2">
      <c r="A2543" s="1" t="s">
        <v>4434</v>
      </c>
      <c r="B2543" s="1" t="str">
        <f ca="1">IFERROR(__xludf.DUMFUNCTION("GOOGLETRANSLATE(A2611,""id"",""en"")"),"Yes, yes, fill in  gasoline")</f>
        <v>Yes, yes, fill in  gasoline</v>
      </c>
    </row>
    <row r="2544" spans="1:2" x14ac:dyDescent="0.2">
      <c r="A2544" s="1" t="s">
        <v>4435</v>
      </c>
      <c r="B2544" s="1" t="str">
        <f ca="1">IFERROR(__xludf.DUMFUNCTION("GOOGLETRANSLATE(A2612,""id"",""en"")")," Corporate Secretary Patra Niaga Irto Ginting Community Mandatory belonging to the  Application Receive BBM Subsidies  BBM Beritaterkini Lampungpost")</f>
        <v xml:space="preserve"> Corporate Secretary Patra Niaga Irto Ginting Community Mandatory belonging to the  Application Receive BBM Subsidies  BBM Beritaterkini Lampungpost</v>
      </c>
    </row>
    <row r="2545" spans="1:2" x14ac:dyDescent="0.2">
      <c r="A2545" s="1" t="s">
        <v>4003</v>
      </c>
      <c r="B2545" s="1" t="str">
        <f ca="1">IFERROR(__xludf.DUMFUNCTION("GOOGLETRANSLATE(A2613,""id"",""en"")"),"List of links to connect ")</f>
        <v xml:space="preserve">List of links to connect </v>
      </c>
    </row>
    <row r="2546" spans="1:2" x14ac:dyDescent="0.2">
      <c r="A2546" s="1" t="s">
        <v>2373</v>
      </c>
      <c r="B2546" s="1" t="str">
        <f ca="1">IFERROR(__xludf.DUMFUNCTION("GOOGLETRANSLATE(A2614,""id"",""en"")"),"Pertalite Buy Lpg Kg List ")</f>
        <v xml:space="preserve">Pertalite Buy Lpg Kg List </v>
      </c>
    </row>
    <row r="2547" spans="1:2" x14ac:dyDescent="0.2">
      <c r="A2547" s="1" t="s">
        <v>2373</v>
      </c>
      <c r="B2547" s="1" t="str">
        <f ca="1">IFERROR(__xludf.DUMFUNCTION("GOOGLETRANSLATE(A2615,""id"",""en"")"),"Pertalite Buy Lpg Kg List ")</f>
        <v xml:space="preserve">Pertalite Buy Lpg Kg List </v>
      </c>
    </row>
    <row r="2548" spans="1:2" x14ac:dyDescent="0.2">
      <c r="A2548" s="1" t="s">
        <v>146</v>
      </c>
      <c r="B2548" s="1" t="str">
        <f ca="1">IFERROR(__xludf.DUMFUNCTION("GOOGLETRANSLATE(A2616,""id"",""en"")"),"Ujung Nye Forced to buy Pertamax chaotic Glassaauuuuu")</f>
        <v>Ujung Nye Forced to buy Pertamax chaotic Glassaauuuuu</v>
      </c>
    </row>
    <row r="2549" spans="1:2" x14ac:dyDescent="0.2">
      <c r="A2549" s="1" t="s">
        <v>4436</v>
      </c>
      <c r="B2549" s="1" t="str">
        <f ca="1">IFERROR(__xludf.DUMFUNCTION("GOOGLETRANSLATE(A2617,""id"",""en"")"),"Data verification key receive  subsidies according to the aim")</f>
        <v>Data verification key receive  subsidies according to the aim</v>
      </c>
    </row>
    <row r="2550" spans="1:2" x14ac:dyDescent="0.2">
      <c r="A2550" s="1" t="s">
        <v>4437</v>
      </c>
      <c r="B2550" s="1" t="str">
        <f ca="1">IFERROR(__xludf.DUMFUNCTION("GOOGLETRANSLATE(A2618,""id"",""en"")")," is so unseen")</f>
        <v xml:space="preserve"> is so unseen</v>
      </c>
    </row>
    <row r="2551" spans="1:2" x14ac:dyDescent="0.2">
      <c r="A2551" s="1" t="s">
        <v>4438</v>
      </c>
      <c r="B2551" s="1" t="str">
        <f ca="1">IFERROR(__xludf.DUMFUNCTION("GOOGLETRANSLATE(A2619,""id"",""en"")"),"People who make  applications don't shadow when the paradise door tells scan")</f>
        <v>People who make  applications don't shadow when the paradise door tells scan</v>
      </c>
    </row>
    <row r="2552" spans="1:2" x14ac:dyDescent="0.2">
      <c r="A2552" s="1" t="s">
        <v>4439</v>
      </c>
      <c r="B2552" s="1" t="str">
        <f ca="1">IFERROR(__xludf.DUMFUNCTION("GOOGLETRANSLATE(A2620,""id"",""en"")"),"wow, fortunately using the  application")</f>
        <v>wow, fortunately using the  application</v>
      </c>
    </row>
    <row r="2553" spans="1:2" x14ac:dyDescent="0.2">
      <c r="A2553" s="1" t="s">
        <v>4440</v>
      </c>
      <c r="B2553" s="1" t="str">
        <f ca="1">IFERROR(__xludf.DUMFUNCTION("GOOGLETRANSLATE(A2621,""id"",""en"")"),"application to block the soap opera faeedah tv block the  application how to open the application the gas station is not playing cellphone")</f>
        <v>application to block the soap opera faeedah tv block the  application how to open the application the gas station is not playing cellphone</v>
      </c>
    </row>
    <row r="2554" spans="1:2" x14ac:dyDescent="0.2">
      <c r="A2554" s="1" t="s">
        <v>4441</v>
      </c>
      <c r="B2554" s="1" t="str">
        <f ca="1">IFERROR(__xludf.DUMFUNCTION("GOOGLETRANSLATE(A2622,""id"",""en"")"),"protected  LinkedIn")</f>
        <v>protected  LinkedIn</v>
      </c>
    </row>
    <row r="2555" spans="1:2" x14ac:dyDescent="0.2">
      <c r="A2555" s="1" t="s">
        <v>4442</v>
      </c>
      <c r="B2555" s="1" t="str">
        <f ca="1">IFERROR(__xludf.DUMFUNCTION("GOOGLETRANSLATE(A2623,""id"",""en"")"),"POM POM  APPLICATION if not  buy")</f>
        <v>POM POM  APPLICATION if not  buy</v>
      </c>
    </row>
    <row r="2556" spans="1:2" x14ac:dyDescent="0.2">
      <c r="A2556" s="1" t="s">
        <v>4443</v>
      </c>
      <c r="B2556" s="1" t="str">
        <f ca="1">IFERROR(__xludf.DUMFUNCTION("GOOGLETRANSLATE(A2624,""id"",""en"")"),"bsk if you want to buy fried too list ")</f>
        <v xml:space="preserve">bsk if you want to buy fried too list </v>
      </c>
    </row>
    <row r="2557" spans="1:2" x14ac:dyDescent="0.2">
      <c r="A2557" s="1" t="s">
        <v>4444</v>
      </c>
      <c r="B2557" s="1" t="str">
        <f ca="1">IFERROR(__xludf.DUMFUNCTION("GOOGLETRANSLATE(A2625,""id"",""en"")"),"please sorry admin")</f>
        <v>please sorry admin</v>
      </c>
    </row>
    <row r="2558" spans="1:2" x14ac:dyDescent="0.2">
      <c r="A2558" s="1" t="s">
        <v>4445</v>
      </c>
      <c r="B2558" s="1" t="str">
        <f ca="1">IFERROR(__xludf.DUMFUNCTION("GOOGLETRANSLATE(A2626,""id"",""en"")"),"The fact of  for the newrapy  is aimed at the saras of the SUBSIDIFICE Identification of  in accordance with the regulation of selling list bs from not obligatory  that does not cellphone July list dl huh")</f>
        <v>The fact of  for the newrapy  is aimed at the saras of the SUBSIDIFICE Identification of  in accordance with the regulation of selling list bs from not obligatory  that does not cellphone July list dl huh</v>
      </c>
    </row>
    <row r="2559" spans="1:2" x14ac:dyDescent="0.2">
      <c r="A2559" s="1" t="s">
        <v>4446</v>
      </c>
      <c r="B2559" s="1" t="str">
        <f ca="1">IFERROR(__xludf.DUMFUNCTION("GOOGLETRANSLATE(A2627,""id"",""en"")"),"really now if the contents of the gasoline must use the  application not loose to drive parents")</f>
        <v>really now if the contents of the gasoline must use the  application not loose to drive parents</v>
      </c>
    </row>
    <row r="2560" spans="1:2" x14ac:dyDescent="0.2">
      <c r="A2560" s="1" t="s">
        <v>4447</v>
      </c>
      <c r="B2560" s="1" t="str">
        <f ca="1">IFERROR(__xludf.DUMFUNCTION("GOOGLETRANSLATE(A2628,""id"",""en"")"),"just buy make ")</f>
        <v xml:space="preserve">just buy make </v>
      </c>
    </row>
    <row r="2561" spans="1:2" x14ac:dyDescent="0.2">
      <c r="A2561" s="1" t="s">
        <v>4448</v>
      </c>
      <c r="B2561" s="1" t="str">
        <f ca="1">IFERROR(__xludf.DUMFUNCTION("GOOGLETRANSLATE(A2629,""id"",""en"")"),"actually so that it is orderly not complicated, yes pay for using  scan qr pom")</f>
        <v>actually so that it is orderly not complicated, yes pay for using  scan qr pom</v>
      </c>
    </row>
    <row r="2562" spans="1:2" x14ac:dyDescent="0.2">
      <c r="A2562" s="1" t="s">
        <v>147</v>
      </c>
      <c r="B2562" s="1" t="str">
        <f ca="1">IFERROR(__xludf.DUMFUNCTION("GOOGLETRANSLATE(A2630,""id"",""en"")"),"a happy happy birthday")</f>
        <v>a happy happy birthday</v>
      </c>
    </row>
    <row r="2563" spans="1:2" x14ac:dyDescent="0.2">
      <c r="A2563" s="1" t="s">
        <v>4449</v>
      </c>
      <c r="B2563" s="1" t="str">
        <f ca="1">IFERROR(__xludf.DUMFUNCTION("GOOGLETRANSLATE(A2631,""id"",""en"")"),"the public is obliged to register  to buy BBM, fortunately the  application")</f>
        <v>the public is obliged to register  to buy BBM, fortunately the  application</v>
      </c>
    </row>
    <row r="2564" spans="1:2" x14ac:dyDescent="0.2">
      <c r="A2564" s="1" t="s">
        <v>4450</v>
      </c>
      <c r="B2564" s="1" t="str">
        <f ca="1">IFERROR(__xludf.DUMFUNCTION("GOOGLETRANSLATE(A2632,""id"",""en"")"),"you hand over ")</f>
        <v xml:space="preserve">you hand over </v>
      </c>
    </row>
    <row r="2565" spans="1:2" x14ac:dyDescent="0.2">
      <c r="A2565" s="1" t="s">
        <v>4451</v>
      </c>
      <c r="B2565" s="1" t="str">
        <f ca="1">IFERROR(__xludf.DUMFUNCTION("GOOGLETRANSLATE(A2633,""id"",""en"")"),"July the public account list of  pages buying fuel subsidies smartphones")</f>
        <v>July the public account list of  pages buying fuel subsidies smartphones</v>
      </c>
    </row>
    <row r="2566" spans="1:2" x14ac:dyDescent="0.2">
      <c r="A2566" s="1" t="s">
        <v>4452</v>
      </c>
      <c r="B2566" s="1" t="str">
        <f ca="1">IFERROR(__xludf.DUMFUNCTION("GOOGLETRANSLATE(A2634,""id"",""en"")"),"The cool  application is a lot of luck")</f>
        <v>The cool  application is a lot of luck</v>
      </c>
    </row>
    <row r="2567" spans="1:2" x14ac:dyDescent="0.2">
      <c r="A2567" s="1" t="s">
        <v>3710</v>
      </c>
      <c r="B2567" s="1" t="str">
        <f ca="1">IFERROR(__xludf.DUMFUNCTION("GOOGLETRANSLATE(A2635,""id"",""en"")"),"Pay attention to buying pertalite to buy LPG Kg gas cylinders must register ")</f>
        <v xml:space="preserve">Pay attention to buying pertalite to buy LPG Kg gas cylinders must register </v>
      </c>
    </row>
    <row r="2568" spans="1:2" x14ac:dyDescent="0.2">
      <c r="A2568" s="1" t="s">
        <v>4453</v>
      </c>
      <c r="B2568" s="1" t="str">
        <f ca="1">IFERROR(__xludf.DUMFUNCTION("GOOGLETRANSLATE(A2636,""id"",""en"")"),"the public is obliged to register  to buy BBM, fortunately the  application")</f>
        <v>the public is obliged to register  to buy BBM, fortunately the  application</v>
      </c>
    </row>
    <row r="2569" spans="1:2" x14ac:dyDescent="0.2">
      <c r="A2569" s="1" t="s">
        <v>4402</v>
      </c>
      <c r="B2569" s="1" t="str">
        <f ca="1">IFERROR(__xludf.DUMFUNCTION("GOOGLETRANSLATE(A2637,""id"",""en"")"),"Fill in Pertalite List of  Organda Jabar Socialization immediately sells")</f>
        <v>Fill in Pertalite List of  Organda Jabar Socialization immediately sells</v>
      </c>
    </row>
    <row r="2570" spans="1:2" x14ac:dyDescent="0.2">
      <c r="A2570" s="1" t="s">
        <v>148</v>
      </c>
      <c r="B2570" s="1" t="str">
        <f ca="1">IFERROR(__xludf.DUMFUNCTION("GOOGLETRANSLATE(A2638,""id"",""en"")"),"POPO TAG INSTAGRAM AZZAM LONTONG SIPALINGMARVEL TAG TAG Copotmenteridongok Get Wel")</f>
        <v>POPO TAG INSTAGRAM AZZAM LONTONG SIPALINGMARVEL TAG TAG Copotmenteridongok Get Wel</v>
      </c>
    </row>
    <row r="2571" spans="1:2" x14ac:dyDescent="0.2">
      <c r="A2571" s="1" t="s">
        <v>4454</v>
      </c>
      <c r="B2571" s="1" t="str">
        <f ca="1">IFERROR(__xludf.DUMFUNCTION("GOOGLETRANSLATE(A2639,""id"",""en"")"),"cool  application")</f>
        <v>cool  application</v>
      </c>
    </row>
    <row r="2572" spans="1:2" x14ac:dyDescent="0.2">
      <c r="A2572" s="1" t="s">
        <v>4455</v>
      </c>
      <c r="B2572" s="1" t="str">
        <f ca="1">IFERROR(__xludf.DUMFUNCTION("GOOGLETRANSLATE(A2640,""id"",""en"")"),"Ngeinstal  The intention of Gae Tuku Bengsin Tuku Merchandise Moto GP")</f>
        <v>Ngeinstal  The intention of Gae Tuku Bengsin Tuku Merchandise Moto GP</v>
      </c>
    </row>
    <row r="2573" spans="1:2" x14ac:dyDescent="0.2">
      <c r="A2573" s="1" t="s">
        <v>4456</v>
      </c>
      <c r="B2573" s="1" t="str">
        <f ca="1">IFERROR(__xludf.DUMFUNCTION("GOOGLETRANSLATE(A2641,""id"",""en"")"),"Jogja misjudged to the  application buy Pertalite List of  Caradpertalite Applications")</f>
        <v>Jogja misjudged to the  application buy Pertalite List of  Caradpertalite Applications</v>
      </c>
    </row>
    <row r="2574" spans="1:2" x14ac:dyDescent="0.2">
      <c r="A2574" s="1" t="s">
        <v>4457</v>
      </c>
      <c r="B2574" s="1" t="str">
        <f ca="1">IFERROR(__xludf.DUMFUNCTION("GOOGLETRANSLATE(A2642,""id"",""en"")"),"buy pertalite  ready document")</f>
        <v>buy pertalite  ready document</v>
      </c>
    </row>
    <row r="2575" spans="1:2" x14ac:dyDescent="0.2">
      <c r="A2575" s="1" t="s">
        <v>4458</v>
      </c>
      <c r="B2575" s="1" t="str">
        <f ca="1">IFERROR(__xludf.DUMFUNCTION("GOOGLETRANSLATE(A2643,""id"",""en"")"),"eh, if the list of  is filled with gasoline, motorbikes")</f>
        <v>eh, if the list of  is filled with gasoline, motorbikes</v>
      </c>
    </row>
    <row r="2576" spans="1:2" x14ac:dyDescent="0.2">
      <c r="A2576" s="1" t="s">
        <v>4459</v>
      </c>
      <c r="B2576" s="1" t="str">
        <f ca="1">IFERROR(__xludf.DUMFUNCTION("GOOGLETRANSLATE(A2644,""id"",""en"")"),"wrong more  who count months using fuel")</f>
        <v>wrong more  who count months using fuel</v>
      </c>
    </row>
    <row r="2577" spans="1:2" x14ac:dyDescent="0.2">
      <c r="A2577" s="1" t="s">
        <v>4460</v>
      </c>
      <c r="B2577" s="1" t="str">
        <f ca="1">IFERROR(__xludf.DUMFUNCTION("GOOGLETRANSLATE(A2645,""id"",""en"")"),"JULI BUY BBM Pertalite Solar owned")</f>
        <v>JULI BUY BBM Pertalite Solar owned</v>
      </c>
    </row>
    <row r="2578" spans="1:2" x14ac:dyDescent="0.2">
      <c r="A2578" s="1" t="s">
        <v>4461</v>
      </c>
      <c r="B2578" s="1" t="str">
        <f ca="1">IFERROR(__xludf.DUMFUNCTION("GOOGLETRANSLATE(A2646,""id"",""en"")"),"the process of testing the implementation of the fuel subsidy  fuel")</f>
        <v>the process of testing the implementation of the fuel subsidy  fuel</v>
      </c>
    </row>
    <row r="2579" spans="1:2" x14ac:dyDescent="0.2">
      <c r="A2579" s="1" t="s">
        <v>4462</v>
      </c>
      <c r="B2579" s="1" t="str">
        <f ca="1">IFERROR(__xludf.DUMFUNCTION("GOOGLETRANSLATE(A2647,""id"",""en"")"),"opinion on install  gawe tuku gas kg")</f>
        <v>opinion on install  gawe tuku gas kg</v>
      </c>
    </row>
    <row r="2580" spans="1:2" x14ac:dyDescent="0.2">
      <c r="A2580" s="1" t="s">
        <v>4463</v>
      </c>
      <c r="B2580" s="1" t="str">
        <f ca="1">IFERROR(__xludf.DUMFUNCTION("GOOGLETRANSLATE(A2648,""id"",""en"")")," Buy Fuel Subsidies Pertalite Solar will buy Liquefied Petroleum Gas LPG Subsidized Portalyogya ")</f>
        <v xml:space="preserve"> Buy Fuel Subsidies Pertalite Solar will buy Liquefied Petroleum Gas LPG Subsidized Portalyogya </v>
      </c>
    </row>
    <row r="2581" spans="1:2" x14ac:dyDescent="0.2">
      <c r="A2581" s="1" t="s">
        <v>4393</v>
      </c>
      <c r="B2581" s="1" t="str">
        <f ca="1">IFERROR(__xludf.DUMFUNCTION("GOOGLETRANSLATE(A2649,""id"",""en"")"),"Buy Pertalite Solar Tight Mandatory Consumers List  Mobile")</f>
        <v>Buy Pertalite Solar Tight Mandatory Consumers List  Mobile</v>
      </c>
    </row>
    <row r="2582" spans="1:2" x14ac:dyDescent="0.2">
      <c r="A2582" s="1" t="s">
        <v>4464</v>
      </c>
      <c r="B2582" s="1" t="str">
        <f ca="1">IFERROR(__xludf.DUMFUNCTION("GOOGLETRANSLATE(A2650,""id"",""en"")"),"Fortunately the  application")</f>
        <v>Fortunately the  application</v>
      </c>
    </row>
    <row r="2583" spans="1:2" x14ac:dyDescent="0.2">
      <c r="A2583" s="1" t="s">
        <v>4465</v>
      </c>
      <c r="B2583" s="1" t="str">
        <f ca="1">IFERROR(__xludf.DUMFUNCTION("GOOGLETRANSLATE(A2651,""id"",""en"")"),"Playing HP forbids SPBU Dangers Congratulations People Orders Order to Set Buy Pertalite Using the    Application")</f>
        <v>Playing HP forbids SPBU Dangers Congratulations People Orders Order to Set Buy Pertalite Using the    Application</v>
      </c>
    </row>
    <row r="2584" spans="1:2" x14ac:dyDescent="0.2">
      <c r="A2584" s="1" t="s">
        <v>4466</v>
      </c>
      <c r="B2584" s="1" t="str">
        <f ca="1">IFERROR(__xludf.DUMFUNCTION("GOOGLETRANSLATE(A2652,""id"",""en"")"),"Blum Install ")</f>
        <v xml:space="preserve">Blum Install </v>
      </c>
    </row>
    <row r="2585" spans="1:2" x14ac:dyDescent="0.2">
      <c r="A2585" s="1" t="s">
        <v>4467</v>
      </c>
      <c r="B2585" s="1" t="str">
        <f ca="1">IFERROR(__xludf.DUMFUNCTION("GOOGLETRANSLATE(A2653,""id"",""en"")"),"Wear  kalong cheat")</f>
        <v>Wear  kalong cheat</v>
      </c>
    </row>
    <row r="2586" spans="1:2" x14ac:dyDescent="0.2">
      <c r="A2586" s="1" t="s">
        <v>4184</v>
      </c>
      <c r="B2586" s="1" t="str">
        <f ca="1">IFERROR(__xludf.DUMFUNCTION("GOOGLETRANSLATE(A2654,""id"",""en"")"),"Tuju Guna  minimizes the wrong Salur Salur type BBM subsidies Pertalite Solar. Assess more wheel vehicle with CC engine capacity")</f>
        <v>Tuju Guna  minimizes the wrong Salur Salur type BBM subsidies Pertalite Solar. Assess more wheel vehicle with CC engine capacity</v>
      </c>
    </row>
    <row r="2587" spans="1:2" x14ac:dyDescent="0.2">
      <c r="A2587" s="1" t="s">
        <v>4468</v>
      </c>
      <c r="B2587" s="1" t="str">
        <f ca="1">IFERROR(__xludf.DUMFUNCTION("GOOGLETRANSLATE(A2655,""id"",""en"")"),"likes to be very complicated, daddy wants to use , I hope that the subsidized fuel gas is lacking the mafia pile")</f>
        <v>likes to be very complicated, daddy wants to use , I hope that the subsidized fuel gas is lacking the mafia pile</v>
      </c>
    </row>
    <row r="2588" spans="1:2" x14ac:dyDescent="0.2">
      <c r="A2588" s="1" t="s">
        <v>4469</v>
      </c>
      <c r="B2588" s="1" t="str">
        <f ca="1">IFERROR(__xludf.DUMFUNCTION("GOOGLETRANSLATE(A2656,""id"",""en"")")," application is very beneficial")</f>
        <v xml:space="preserve"> application is very beneficial</v>
      </c>
    </row>
    <row r="2589" spans="1:2" x14ac:dyDescent="0.2">
      <c r="A2589" s="1" t="s">
        <v>4470</v>
      </c>
      <c r="B2589" s="1" t="str">
        <f ca="1">IFERROR(__xludf.DUMFUNCTION("GOOGLETRANSLATE(A2657,""id"",""en"")"),"poor people smart phones buy lpg kg using  analysis")</f>
        <v>poor people smart phones buy lpg kg using  analysis</v>
      </c>
    </row>
    <row r="2590" spans="1:2" x14ac:dyDescent="0.2">
      <c r="A2590" s="1" t="s">
        <v>4471</v>
      </c>
      <c r="B2590" s="1" t="str">
        <f ca="1">IFERROR(__xludf.DUMFUNCTION("GOOGLETRANSLATE(A2658,""id"",""en"")"),"Kendara Buying Solar Pertalite Using  Clear Complete Check Out Out Yes ")</f>
        <v xml:space="preserve">Kendara Buying Solar Pertalite Using  Clear Complete Check Out Out Yes </v>
      </c>
    </row>
    <row r="2591" spans="1:2" x14ac:dyDescent="0.2">
      <c r="A2591" s="1" t="s">
        <v>993</v>
      </c>
      <c r="B2591" s="1" t="str">
        <f ca="1">IFERROR(__xludf.DUMFUNCTION("GOOGLETRANSLATE(A2659,""id"",""en"")")," Open the Process of the List of Provinces Buy Petralite Solar Types of July CNNIndonesia")</f>
        <v xml:space="preserve"> Open the Process of the List of Provinces Buy Petralite Solar Types of July CNNIndonesia</v>
      </c>
    </row>
    <row r="2592" spans="1:2" x14ac:dyDescent="0.2">
      <c r="A2592" s="1" t="s">
        <v>4472</v>
      </c>
      <c r="B2592" s="1" t="str">
        <f ca="1">IFERROR(__xludf.DUMFUNCTION("GOOGLETRANSLATE(A2660,""id"",""en"")"),"sling bag for women's sling bags for loading comfortable amps for tokopedia tokopedia fashion bags cold impi")</f>
        <v>sling bag for women's sling bags for loading comfortable amps for tokopedia tokopedia fashion bags cold impi</v>
      </c>
    </row>
    <row r="2593" spans="1:2" x14ac:dyDescent="0.2">
      <c r="A2593" s="1" t="s">
        <v>4473</v>
      </c>
      <c r="B2593" s="1" t="str">
        <f ca="1">IFERROR(__xludf.DUMFUNCTION("GOOGLETRANSLATE(A2661,""id"",""en"")"),"Pertalite Buying LPG Kilogram Gas Must Register ")</f>
        <v xml:space="preserve">Pertalite Buying LPG Kilogram Gas Must Register </v>
      </c>
    </row>
    <row r="2594" spans="1:2" x14ac:dyDescent="0.2">
      <c r="A2594" s="1" t="s">
        <v>4474</v>
      </c>
      <c r="B2594" s="1" t="str">
        <f ca="1">IFERROR(__xludf.DUMFUNCTION("GOOGLETRANSLATE(A2662,""id"",""en"")"),"Just use the APP APP Gas Station, the Gasoline Employee Just Error Error No Wall Promotion  Error is not the employee's app.")</f>
        <v>Just use the APP APP Gas Station, the Gasoline Employee Just Error Error No Wall Promotion  Error is not the employee's app.</v>
      </c>
    </row>
    <row r="2595" spans="1:2" x14ac:dyDescent="0.2">
      <c r="A2595" s="1" t="s">
        <v>4475</v>
      </c>
      <c r="B2595" s="1" t="str">
        <f ca="1">IFERROR(__xludf.DUMFUNCTION("GOOGLETRANSLATE(A2663,""id"",""en"")"),"IniMAmagelangku Alas Buy Pertalite Solar List ")</f>
        <v xml:space="preserve">IniMAmagelangku Alas Buy Pertalite Solar List </v>
      </c>
    </row>
    <row r="2596" spans="1:2" x14ac:dyDescent="0.2">
      <c r="A2596" s="1" t="s">
        <v>4476</v>
      </c>
      <c r="B2596" s="1" t="str">
        <f ca="1">IFERROR(__xludf.DUMFUNCTION("GOOGLETRANSLATE(A2664,""id"",""en"")"),"Alas Buy Pertalite Solar List ")</f>
        <v xml:space="preserve">Alas Buy Pertalite Solar List </v>
      </c>
    </row>
    <row r="2597" spans="1:2" x14ac:dyDescent="0.2">
      <c r="A2597" s="1" t="s">
        <v>4477</v>
      </c>
      <c r="B2597" s="1" t="str">
        <f ca="1">IFERROR(__xludf.DUMFUNCTION("GOOGLETRANSLATE(A2665,""id"",""en"")"),"Love the list of  ga")</f>
        <v>Love the list of  ga</v>
      </c>
    </row>
    <row r="2598" spans="1:2" x14ac:dyDescent="0.2">
      <c r="A2598" s="1" t="s">
        <v>4478</v>
      </c>
      <c r="B2598" s="1" t="str">
        <f ca="1">IFERROR(__xludf.DUMFUNCTION("GOOGLETRANSLATE(A2666,""id"",""en"")"),"outlets of public gas station list hp  application via")</f>
        <v>outlets of public gas station list hp  application via</v>
      </c>
    </row>
    <row r="2599" spans="1:2" x14ac:dyDescent="0.2">
      <c r="A2599" s="1" t="s">
        <v>4479</v>
      </c>
      <c r="B2599" s="1" t="str">
        <f ca="1">IFERROR(__xludf.DUMFUNCTION("GOOGLETRANSLATE(A2667,""id"",""en"")"),"Install the  Application Install Shell Asia Points for FREE")</f>
        <v>Install the  Application Install Shell Asia Points for FREE</v>
      </c>
    </row>
    <row r="2600" spans="1:2" x14ac:dyDescent="0.2">
      <c r="A2600" s="1" t="s">
        <v>4480</v>
      </c>
      <c r="B2600" s="1" t="str">
        <f ca="1">IFERROR(__xludf.DUMFUNCTION("GOOGLETRANSLATE(A2668,""id"",""en"")"),"Gaes, I don't know, I will definitely fortify the  application")</f>
        <v>Gaes, I don't know, I will definitely fortify the  application</v>
      </c>
    </row>
    <row r="2601" spans="1:2" x14ac:dyDescent="0.2">
      <c r="A2601" s="1" t="s">
        <v>4481</v>
      </c>
      <c r="B2601" s="1" t="str">
        <f ca="1">IFERROR(__xludf.DUMFUNCTION("GOOGLETRANSLATE(A2669,""id"",""en"")"),"Download the  Application")</f>
        <v>Download the  Application</v>
      </c>
    </row>
    <row r="2602" spans="1:2" x14ac:dyDescent="0.2">
      <c r="A2602" s="1" t="s">
        <v>4482</v>
      </c>
      <c r="B2602" s="1" t="str">
        <f ca="1">IFERROR(__xludf.DUMFUNCTION("GOOGLETRANSLATE(A2670,""id"",""en"")"),"Now ok Ima Install  Future Damn Data Leaks")</f>
        <v>Now ok Ima Install  Future Damn Data Leaks</v>
      </c>
    </row>
    <row r="2603" spans="1:2" x14ac:dyDescent="0.2">
      <c r="A2603" s="1" t="s">
        <v>4483</v>
      </c>
      <c r="B2603" s="1" t="str">
        <f ca="1">IFERROR(__xludf.DUMFUNCTION("GOOGLETRANSLATE(A2671,""id"",""en"")"),"Like paying the developer  uses the application download nich")</f>
        <v>Like paying the developer  uses the application download nich</v>
      </c>
    </row>
    <row r="2604" spans="1:2" x14ac:dyDescent="0.2">
      <c r="A2604" s="1" t="s">
        <v>4484</v>
      </c>
      <c r="B2604" s="1" t="str">
        <f ca="1">IFERROR(__xludf.DUMFUNCTION("GOOGLETRANSLATE(A2672,""id"",""en"")"),"idly list the  app, the payment system is a Linkaja app, a cash payment system like an online transportation application")</f>
        <v>idly list the  app, the payment system is a Linkaja app, a cash payment system like an online transportation application</v>
      </c>
    </row>
    <row r="2605" spans="1:2" x14ac:dyDescent="0.2">
      <c r="A2605" s="1" t="s">
        <v>4485</v>
      </c>
      <c r="B2605" s="1" t="str">
        <f ca="1">IFERROR(__xludf.DUMFUNCTION("GOOGLETRANSLATE(A2673,""id"",""en"")"),"GIH LIST OF SCR Direct  Outlet Near Help Process List of Operation Operations People People List  Web Applications  Kendara Tem")</f>
        <v>GIH LIST OF SCR Direct  Outlet Near Help Process List of Operation Operations People People List  Web Applications  Kendara Tem</v>
      </c>
    </row>
    <row r="2606" spans="1:2" x14ac:dyDescent="0.2">
      <c r="A2606" s="1" t="s">
        <v>4486</v>
      </c>
      <c r="B2606" s="1" t="str">
        <f ca="1">IFERROR(__xludf.DUMFUNCTION("GOOGLETRANSLATE(A2674,""id"",""en"")"),"Kemal Palevi Wise Comments  Buy Pertalite  Application Kemalpalevi")</f>
        <v>Kemal Palevi Wise Comments  Buy Pertalite  Application Kemalpalevi</v>
      </c>
    </row>
    <row r="2607" spans="1:2" x14ac:dyDescent="0.2">
      <c r="A2607" s="1" t="s">
        <v>149</v>
      </c>
      <c r="B2607" s="1" t="str">
        <f ca="1">IFERROR(__xludf.DUMFUNCTION("GOOGLETRANSLATE(A2675,""id"",""en"")"),"means that if it is worth drinking the account pertalite, it doesn't list")</f>
        <v>means that if it is worth drinking the account pertalite, it doesn't list</v>
      </c>
    </row>
    <row r="2608" spans="1:2" x14ac:dyDescent="0.2">
      <c r="A2608" s="1" t="s">
        <v>4487</v>
      </c>
      <c r="B2608" s="1" t="str">
        <f ca="1">IFERROR(__xludf.DUMFUNCTION("GOOGLETRANSLATE(A2676,""id"",""en"")"),"LPG GAS KG Types of Gas Subsidies Specifically for the community need the wrong gas to minimize the wrong target gas list  is wrong to use KK complicated limits")</f>
        <v>LPG GAS KG Types of Gas Subsidies Specifically for the community need the wrong gas to minimize the wrong target gas list  is wrong to use KK complicated limits</v>
      </c>
    </row>
    <row r="2609" spans="1:2" x14ac:dyDescent="0.2">
      <c r="A2609" s="1" t="s">
        <v>4488</v>
      </c>
      <c r="B2609" s="1" t="str">
        <f ca="1">IFERROR(__xludf.DUMFUNCTION("GOOGLETRANSLATE(A2677,""id"",""en"")"),"ahead of  behavior")</f>
        <v>ahead of  behavior</v>
      </c>
    </row>
    <row r="2610" spans="1:2" x14ac:dyDescent="0.2">
      <c r="A2610" s="1" t="s">
        <v>4488</v>
      </c>
      <c r="B2610" s="1" t="str">
        <f ca="1">IFERROR(__xludf.DUMFUNCTION("GOOGLETRANSLATE(A2678,""id"",""en"")"),"ahead of  behavior")</f>
        <v>ahead of  behavior</v>
      </c>
    </row>
    <row r="2611" spans="1:2" x14ac:dyDescent="0.2">
      <c r="A2611" s="1" t="s">
        <v>4489</v>
      </c>
      <c r="B2611" s="1" t="str">
        <f ca="1">IFERROR(__xludf.DUMFUNCTION("GOOGLETRANSLATE(A2679,""id"",""en"")"),"access to  apps  ready for the  Energy Energy Energy Offline booth")</f>
        <v>access to  apps  ready for the  Energy Energy Energy Offline booth</v>
      </c>
    </row>
    <row r="2612" spans="1:2" x14ac:dyDescent="0.2">
      <c r="A2612" s="1" t="s">
        <v>4490</v>
      </c>
      <c r="B2612" s="1" t="str">
        <f ca="1">IFERROR(__xludf.DUMFUNCTION("GOOGLETRANSLATE(A2680,""id"",""en"")"),"BYK LOOK USING THE  APPLICATION")</f>
        <v>BYK LOOK USING THE  APPLICATION</v>
      </c>
    </row>
    <row r="2613" spans="1:2" x14ac:dyDescent="0.2">
      <c r="A2613" s="1" t="s">
        <v>4491</v>
      </c>
      <c r="B2613" s="1" t="str">
        <f ca="1">IFERROR(__xludf.DUMFUNCTION("GOOGLETRANSLATE(A2681,""id"",""en"")"),"trial road trial Salur subsidized Sasar  application quota subsidized potential information from the information list via the July website")</f>
        <v>trial road trial Salur subsidized Sasar  application quota subsidized potential information from the information list via the July website</v>
      </c>
    </row>
    <row r="2614" spans="1:2" x14ac:dyDescent="0.2">
      <c r="A2614" s="1" t="s">
        <v>4492</v>
      </c>
      <c r="B2614" s="1" t="str">
        <f ca="1">IFERROR(__xludf.DUMFUNCTION("GOOGLETRANSLATE(A2682,""id"",""en"")"),"so logic using  access cells can be because wrong predictions brp subscriptions that are tasked with gas stations have also predicted as a result of grief because the gas station is")</f>
        <v>so logic using  access cells can be because wrong predictions brp subscriptions that are tasked with gas stations have also predicted as a result of grief because the gas station is</v>
      </c>
    </row>
    <row r="2615" spans="1:2" x14ac:dyDescent="0.2">
      <c r="A2615" s="1" t="s">
        <v>4493</v>
      </c>
      <c r="B2615" s="1" t="str">
        <f ca="1">IFERROR(__xludf.DUMFUNCTION("GOOGLETRANSLATE(A2683,""id"",""en"")"),"noisy buying fuel using  app to pay bbm using app, it is recommended that the husband looks if the contents of the ATM gasoline are attractive to Cash, take care of it, I'm afraid when I pay not to pay the debit using EDC error yha")</f>
        <v>noisy buying fuel using  app to pay bbm using app, it is recommended that the husband looks if the contents of the ATM gasoline are attractive to Cash, take care of it, I'm afraid when I pay not to pay the debit using EDC error yha</v>
      </c>
    </row>
    <row r="2616" spans="1:2" x14ac:dyDescent="0.2">
      <c r="A2616" s="1" t="s">
        <v>4494</v>
      </c>
      <c r="B2616" s="1" t="str">
        <f ca="1">IFERROR(__xludf.DUMFUNCTION("GOOGLETRANSLATE(A2684,""id"",""en"")")," application campaign in the Citizens of Indonesian Transportation")</f>
        <v xml:space="preserve"> application campaign in the Citizens of Indonesian Transportation</v>
      </c>
    </row>
    <row r="2617" spans="1:2" x14ac:dyDescent="0.2">
      <c r="A2617" s="1" t="s">
        <v>2683</v>
      </c>
      <c r="B2617" s="1" t="str">
        <f ca="1">IFERROR(__xludf.DUMFUNCTION("GOOGLETRANSLATE(A2685,""id"",""en"")"),"Use the  application")</f>
        <v>Use the  application</v>
      </c>
    </row>
    <row r="2618" spans="1:2" x14ac:dyDescent="0.2">
      <c r="A2618" s="1" t="s">
        <v>4495</v>
      </c>
      <c r="B2618" s="1" t="str">
        <f ca="1">IFERROR(__xludf.DUMFUNCTION("GOOGLETRANSLATE(A2686,""id"",""en"")"),"just calm down the public does not support the  application, list the website directly print QR Code BBM Subsidized Application Transaction")</f>
        <v>just calm down the public does not support the  application, list the website directly print QR Code BBM Subsidized Application Transaction</v>
      </c>
    </row>
    <row r="2619" spans="1:2" x14ac:dyDescent="0.2">
      <c r="A2619" s="1" t="s">
        <v>4496</v>
      </c>
      <c r="B2619" s="1" t="str">
        <f ca="1">IFERROR(__xludf.DUMFUNCTION("GOOGLETRANSLATE(A2687,""id"",""en"")"),"wow support the  application")</f>
        <v>wow support the  application</v>
      </c>
    </row>
    <row r="2620" spans="1:2" x14ac:dyDescent="0.2">
      <c r="A2620" s="1" t="s">
        <v>4497</v>
      </c>
      <c r="B2620" s="1" t="str">
        <f ca="1">IFERROR(__xludf.DUMFUNCTION("GOOGLETRANSLATE(A2688,""id"",""en"")"),"wise order to hook buying cooking oil fuel type pertalite applications protected ")</f>
        <v xml:space="preserve">wise order to hook buying cooking oil fuel type pertalite applications protected </v>
      </c>
    </row>
    <row r="2621" spans="1:2" x14ac:dyDescent="0.2">
      <c r="A2621" s="1" t="s">
        <v>4498</v>
      </c>
      <c r="B2621" s="1" t="str">
        <f ca="1">IFERROR(__xludf.DUMFUNCTION("GOOGLETRANSLATE(A2689,""id"",""en"")"),"Anjiiir told to use  then buy a point if you have gathered the point can get free gasoline gas lpg not emotional")</f>
        <v>Anjiiir told to use  then buy a point if you have gathered the point can get free gasoline gas lpg not emotional</v>
      </c>
    </row>
    <row r="2622" spans="1:2" x14ac:dyDescent="0.2">
      <c r="A2622" s="1" t="s">
        <v>2517</v>
      </c>
      <c r="B2622" s="1" t="str">
        <f ca="1">IFERROR(__xludf.DUMFUNCTION("GOOGLETRANSLATE(A2690,""id"",""en"")"),"Silent Testing Trial Buying LPG Kg Must Register ")</f>
        <v xml:space="preserve">Silent Testing Trial Buying LPG Kg Must Register </v>
      </c>
    </row>
    <row r="2623" spans="1:2" x14ac:dyDescent="0.2">
      <c r="A2623" s="1" t="s">
        <v>4499</v>
      </c>
      <c r="B2623" s="1" t="str">
        <f ca="1">IFERROR(__xludf.DUMFUNCTION("GOOGLETRANSLATE(A2691,""id"",""en"")"),"Buy subsidized fuel via  supports the regulation of fuel subsidized subsidies for the Protection of the Hit Protection")</f>
        <v>Buy subsidized fuel via  supports the regulation of fuel subsidized subsidies for the Protection of the Hit Protection</v>
      </c>
    </row>
    <row r="2624" spans="1:2" x14ac:dyDescent="0.2">
      <c r="A2624" s="1" t="s">
        <v>4500</v>
      </c>
      <c r="B2624" s="1" t="str">
        <f ca="1">IFERROR(__xludf.DUMFUNCTION("GOOGLETRANSLATE(A2693,""id"",""en"")"),"Confused I who protested to buy Pertalite Solar Make the  Application  already subsidized twenty thousand guys Pertalite solar telling using the  application.")</f>
        <v>Confused I who protested to buy Pertalite Solar Make the  Application  already subsidized twenty thousand guys Pertalite solar telling using the  application.</v>
      </c>
    </row>
    <row r="2625" spans="1:2" x14ac:dyDescent="0.2">
      <c r="A2625" s="1" t="s">
        <v>4501</v>
      </c>
      <c r="B2625" s="1" t="str">
        <f ca="1">IFERROR(__xludf.DUMFUNCTION("GOOGLETRANSLATE(A2694,""id"",""en"")"),"Lur Ning SPBU JARE GA DILL HP IKI TUKU PERTALITE DION GAWE  YO")</f>
        <v>Lur Ning SPBU JARE GA DILL HP IKI TUKU PERTALITE DION GAWE  YO</v>
      </c>
    </row>
    <row r="2626" spans="1:2" x14ac:dyDescent="0.2">
      <c r="A2626" s="1" t="s">
        <v>4160</v>
      </c>
      <c r="B2626" s="1" t="str">
        <f ca="1">IFERROR(__xludf.DUMFUNCTION("GOOGLETRANSLATE(A2695,""id"",""en"")"),"BBM Buy Gas Melon  Application Netizens Set Stupid")</f>
        <v>BBM Buy Gas Melon  Application Netizens Set Stupid</v>
      </c>
    </row>
    <row r="2627" spans="1:2" x14ac:dyDescent="0.2">
      <c r="A2627" s="1" t="s">
        <v>4502</v>
      </c>
      <c r="B2627" s="1" t="str">
        <f ca="1">IFERROR(__xludf.DUMFUNCTION("GOOGLETRANSLATE(A2696,""id"",""en"")"),"GOV application for user user, telkomsel opens a review of the protector protecting the  agreement, yes, buy gasoline")</f>
        <v>GOV application for user user, telkomsel opens a review of the protector protecting the  agreement, yes, buy gasoline</v>
      </c>
    </row>
    <row r="2628" spans="1:2" x14ac:dyDescent="0.2">
      <c r="A2628" s="1" t="s">
        <v>4503</v>
      </c>
      <c r="B2628" s="1" t="str">
        <f ca="1">IFERROR(__xludf.DUMFUNCTION("GOOGLETRANSLATE(A2697,""id"",""en"")"),"Support the  application")</f>
        <v>Support the  application</v>
      </c>
    </row>
    <row r="2629" spans="1:2" x14ac:dyDescent="0.2">
      <c r="A2629" s="1" t="s">
        <v>4504</v>
      </c>
      <c r="B2629" s="1" t="str">
        <f ca="1">IFERROR(__xludf.DUMFUNCTION("GOOGLETRANSLATE(A2698,""id"",""en"")"),"list of  ah, who knows vacant work")</f>
        <v>list of  ah, who knows vacant work</v>
      </c>
    </row>
    <row r="2630" spans="1:2" x14ac:dyDescent="0.2">
      <c r="A2630" s="1" t="s">
        <v>4505</v>
      </c>
      <c r="B2630" s="1" t="str">
        <f ca="1">IFERROR(__xludf.DUMFUNCTION("GOOGLETRANSLATE(A2699,""id"",""en"")"),"anjerrrr just breath using ")</f>
        <v xml:space="preserve">anjerrrr just breath using </v>
      </c>
    </row>
    <row r="2631" spans="1:2" x14ac:dyDescent="0.2">
      <c r="A2631" s="1" t="s">
        <v>4506</v>
      </c>
      <c r="B2631" s="1" t="str">
        <f ca="1">IFERROR(__xludf.DUMFUNCTION("GOOGLETRANSLATE(A2700,""id"",""en"")"),"people use the  application to buy 's base fuel")</f>
        <v>people use the  application to buy 's base fuel</v>
      </c>
    </row>
    <row r="2632" spans="1:2" x14ac:dyDescent="0.2">
      <c r="A2632" s="1" t="s">
        <v>4507</v>
      </c>
      <c r="B2632" s="1" t="str">
        <f ca="1">IFERROR(__xludf.DUMFUNCTION("GOOGLETRANSLATE(A2701,""id"",""en"")"),"Rich Indonesia Onlime the Lower Middle People Buy Cooking Oil Just Think Thus Forced to Buy a Mobile Phone List  To Buy Gas Gasoline")</f>
        <v>Rich Indonesia Onlime the Lower Middle People Buy Cooking Oil Just Think Thus Forced to Buy a Mobile Phone List  To Buy Gas Gasoline</v>
      </c>
    </row>
    <row r="2633" spans="1:2" x14ac:dyDescent="0.2">
      <c r="A2633" s="1" t="s">
        <v>4508</v>
      </c>
      <c r="B2633" s="1" t="str">
        <f ca="1">IFERROR(__xludf.DUMFUNCTION("GOOGLETRANSLATE(A2702,""id"",""en"")"),"Facts Buy Pertalite via   Intention to Salur BBM Subsidy Salang Data Rights Calm Consultation SPBU Offline Complaints Community")</f>
        <v>Facts Buy Pertalite via   Intention to Salur BBM Subsidy Salang Data Rights Calm Consultation SPBU Offline Complaints Community</v>
      </c>
    </row>
    <row r="2634" spans="1:2" x14ac:dyDescent="0.2">
      <c r="A2634" s="1" t="s">
        <v>4509</v>
      </c>
      <c r="B2634" s="1" t="str">
        <f ca="1">IFERROR(__xludf.DUMFUNCTION("GOOGLETRANSLATE(A2703,""id"",""en"")"),"Psti Muk Install  Mniez")</f>
        <v>Psti Muk Install  Mniez</v>
      </c>
    </row>
    <row r="2635" spans="1:2" x14ac:dyDescent="0.2">
      <c r="A2635" s="1" t="s">
        <v>4510</v>
      </c>
      <c r="B2635" s="1" t="str">
        <f ca="1">IFERROR(__xludf.DUMFUNCTION("GOOGLETRANSLATE(A2704,""id"",""en"")")," Definitely Distribution of BBM LPG Sasar Jokowi ")</f>
        <v xml:space="preserve"> Definitely Distribution of BBM LPG Sasar Jokowi </v>
      </c>
    </row>
    <row r="2636" spans="1:2" x14ac:dyDescent="0.2">
      <c r="A2636" s="1" t="s">
        <v>4511</v>
      </c>
      <c r="B2636" s="1" t="str">
        <f ca="1">IFERROR(__xludf.DUMFUNCTION("GOOGLETRANSLATE(A2705,""id"",""en"")"),"fortunately the  jokowi  application")</f>
        <v>fortunately the  jokowi  application</v>
      </c>
    </row>
    <row r="2637" spans="1:2" x14ac:dyDescent="0.2">
      <c r="A2637" s="1" t="s">
        <v>4512</v>
      </c>
      <c r="B2637" s="1" t="str">
        <f ca="1">IFERROR(__xludf.DUMFUNCTION("GOOGLETRANSLATE(A2706,""id"",""en"")"),"The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38" spans="1:2" x14ac:dyDescent="0.2">
      <c r="A2638" s="1" t="s">
        <v>4513</v>
      </c>
      <c r="B2638" s="1" t="str">
        <f ca="1">IFERROR(__xludf.DUMFUNCTION("GOOGLETRANSLATE(A2707,""id"",""en"")"),"President Invites State Investment in the Indonesian Clean Energy Sector Jokowi ")</f>
        <v xml:space="preserve">President Invites State Investment in the Indonesian Clean Energy Sector Jokowi </v>
      </c>
    </row>
    <row r="2639" spans="1:2" x14ac:dyDescent="0.2">
      <c r="A2639" s="1" t="s">
        <v>4514</v>
      </c>
      <c r="B2639" s="1" t="str">
        <f ca="1">IFERROR(__xludf.DUMFUNCTION("GOOGLETRANSLATE(A2708,""id"",""en"")"),"Mall uses protested to buy cooking oil using KTP KTP buy LPG gasoline using  jiiran open the big data is not open open")</f>
        <v>Mall uses protested to buy cooking oil using KTP KTP buy LPG gasoline using  jiiran open the big data is not open open</v>
      </c>
    </row>
    <row r="2640" spans="1:2" x14ac:dyDescent="0.2">
      <c r="A2640" s="1" t="s">
        <v>4515</v>
      </c>
      <c r="B2640" s="1" t="str">
        <f ca="1">IFERROR(__xludf.DUMFUNCTION("GOOGLETRANSLATE(A2709,""id"",""en"")"),"Article Hina President Vice President of the Criminal Code Bill Entering Jokowi 's Aduction")</f>
        <v>Article Hina President Vice President of the Criminal Code Bill Entering Jokowi 's Aduction</v>
      </c>
    </row>
    <row r="2641" spans="1:2" x14ac:dyDescent="0.2">
      <c r="A2641" s="1" t="s">
        <v>4516</v>
      </c>
      <c r="B2641" s="1" t="str">
        <f ca="1">IFERROR(__xludf.DUMFUNCTION("GOOGLETRANSLATE(A2710,""id"",""en"")"),"The Criminal Code Bill absorbs the aspirations of Indonesian people Jokowi ")</f>
        <v xml:space="preserve">The Criminal Code Bill absorbs the aspirations of Indonesian people Jokowi </v>
      </c>
    </row>
    <row r="2642" spans="1:2" x14ac:dyDescent="0.2">
      <c r="A2642" s="1" t="s">
        <v>4517</v>
      </c>
      <c r="B2642" s="1" t="str">
        <f ca="1">IFERROR(__xludf.DUMFUNCTION("GOOGLETRANSLATE(A2711,""id"",""en"")"),"sis teach using ")</f>
        <v xml:space="preserve">sis teach using </v>
      </c>
    </row>
    <row r="2643" spans="1:2" x14ac:dyDescent="0.2">
      <c r="A2643" s="1" t="s">
        <v>4518</v>
      </c>
      <c r="B2643" s="1" t="str">
        <f ca="1">IFERROR(__xludf.DUMFUNCTION("GOOGLETRANSLATE(A2712,""id"",""en"")")," house sells lpg kg not using ")</f>
        <v xml:space="preserve"> house sells lpg kg not using </v>
      </c>
    </row>
    <row r="2644" spans="1:2" x14ac:dyDescent="0.2">
      <c r="A2644" s="1" t="s">
        <v>4510</v>
      </c>
      <c r="B2644" s="1" t="str">
        <f ca="1">IFERROR(__xludf.DUMFUNCTION("GOOGLETRANSLATE(A2713,""id"",""en"")")," Definitely Distribution of BBM LPG Sasar Jokowi ")</f>
        <v xml:space="preserve"> Definitely Distribution of BBM LPG Sasar Jokowi </v>
      </c>
    </row>
    <row r="2645" spans="1:2" x14ac:dyDescent="0.2">
      <c r="A2645" s="1" t="s">
        <v>4511</v>
      </c>
      <c r="B2645" s="1" t="str">
        <f ca="1">IFERROR(__xludf.DUMFUNCTION("GOOGLETRANSLATE(A2714,""id"",""en"")"),"fortunately the  jokowi  application")</f>
        <v>fortunately the  jokowi  application</v>
      </c>
    </row>
    <row r="2646" spans="1:2" x14ac:dyDescent="0.2">
      <c r="A2646" s="1" t="s">
        <v>4512</v>
      </c>
      <c r="B2646" s="1" t="str">
        <f ca="1">IFERROR(__xludf.DUMFUNCTION("GOOGLETRANSLATE(A2715,""id"",""en"")"),"The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47" spans="1:2" x14ac:dyDescent="0.2">
      <c r="A2647" s="1" t="s">
        <v>4519</v>
      </c>
      <c r="B2647" s="1" t="str">
        <f ca="1">IFERROR(__xludf.DUMFUNCTION("GOOGLETRANSLATE(A2716,""id"",""en"")"),"belongs to  buy pertalite list via website")</f>
        <v>belongs to  buy pertalite list via website</v>
      </c>
    </row>
    <row r="2648" spans="1:2" x14ac:dyDescent="0.2">
      <c r="A2648" s="1" t="s">
        <v>4513</v>
      </c>
      <c r="B2648" s="1" t="str">
        <f ca="1">IFERROR(__xludf.DUMFUNCTION("GOOGLETRANSLATE(A2717,""id"",""en"")"),"President Invites State Investment in the Indonesian Clean Energy Sector Jokowi ")</f>
        <v xml:space="preserve">President Invites State Investment in the Indonesian Clean Energy Sector Jokowi </v>
      </c>
    </row>
    <row r="2649" spans="1:2" x14ac:dyDescent="0.2">
      <c r="A2649" s="1" t="s">
        <v>4520</v>
      </c>
      <c r="B2649" s="1" t="str">
        <f ca="1">IFERROR(__xludf.DUMFUNCTION("GOOGLETRANSLATE(A2718,""id"",""en"")"),"Apas  is really noisy, what are you doing")</f>
        <v>Apas  is really noisy, what are you doing</v>
      </c>
    </row>
    <row r="2650" spans="1:2" x14ac:dyDescent="0.2">
      <c r="A2650" s="1" t="s">
        <v>4515</v>
      </c>
      <c r="B2650" s="1" t="str">
        <f ca="1">IFERROR(__xludf.DUMFUNCTION("GOOGLETRANSLATE(A2719,""id"",""en"")"),"Article Hina President Vice President of the Criminal Code Bill Entering Jokowi 's Aduction")</f>
        <v>Article Hina President Vice President of the Criminal Code Bill Entering Jokowi 's Aduction</v>
      </c>
    </row>
    <row r="2651" spans="1:2" x14ac:dyDescent="0.2">
      <c r="A2651" s="1" t="s">
        <v>4516</v>
      </c>
      <c r="B2651" s="1" t="str">
        <f ca="1">IFERROR(__xludf.DUMFUNCTION("GOOGLETRANSLATE(A2720,""id"",""en"")"),"The Criminal Code Bill absorbs the aspirations of Indonesian people Jokowi ")</f>
        <v xml:space="preserve">The Criminal Code Bill absorbs the aspirations of Indonesian people Jokowi </v>
      </c>
    </row>
    <row r="2652" spans="1:2" x14ac:dyDescent="0.2">
      <c r="A2652" s="1" t="s">
        <v>4521</v>
      </c>
      <c r="B2652" s="1" t="str">
        <f ca="1">IFERROR(__xludf.DUMFUNCTION("GOOGLETRANSLATE(A2721,""id"",""en"")"),"Confused Unistal Caring for Protection Donlot ")</f>
        <v xml:space="preserve">Confused Unistal Caring for Protection Donlot </v>
      </c>
    </row>
    <row r="2653" spans="1:2" x14ac:dyDescent="0.2">
      <c r="A2653" s="1" t="s">
        <v>4510</v>
      </c>
      <c r="B2653" s="1" t="str">
        <f ca="1">IFERROR(__xludf.DUMFUNCTION("GOOGLETRANSLATE(A2722,""id"",""en"")")," Definitely Distribution of BBM LPG Sasar Jokowi ")</f>
        <v xml:space="preserve"> Definitely Distribution of BBM LPG Sasar Jokowi </v>
      </c>
    </row>
    <row r="2654" spans="1:2" x14ac:dyDescent="0.2">
      <c r="A2654" s="1" t="s">
        <v>4319</v>
      </c>
      <c r="B2654" s="1" t="str">
        <f ca="1">IFERROR(__xludf.DUMFUNCTION("GOOGLETRANSLATE(A2723,""id"",""en"")"),"Register Select Motor Apps  Motorcycle Brand that Protest Not Fair Wheel")</f>
        <v>Register Select Motor Apps  Motorcycle Brand that Protest Not Fair Wheel</v>
      </c>
    </row>
    <row r="2655" spans="1:2" x14ac:dyDescent="0.2">
      <c r="A2655" s="1" t="s">
        <v>4511</v>
      </c>
      <c r="B2655" s="1" t="str">
        <f ca="1">IFERROR(__xludf.DUMFUNCTION("GOOGLETRANSLATE(A2724,""id"",""en"")"),"fortunately the  jokowi  application")</f>
        <v>fortunately the  jokowi  application</v>
      </c>
    </row>
    <row r="2656" spans="1:2" x14ac:dyDescent="0.2">
      <c r="A2656" s="1" t="s">
        <v>2941</v>
      </c>
      <c r="B2656" s="1" t="str">
        <f ca="1">IFERROR(__xludf.DUMFUNCTION("GOOGLETRANSLATE(A2725,""id"",""en"")"),"buy fuel subsidies for  applications")</f>
        <v>buy fuel subsidies for  applications</v>
      </c>
    </row>
    <row r="2657" spans="1:2" x14ac:dyDescent="0.2">
      <c r="A2657" s="1" t="s">
        <v>4512</v>
      </c>
      <c r="B2657" s="1" t="str">
        <f ca="1">IFERROR(__xludf.DUMFUNCTION("GOOGLETRANSLATE(A2726,""id"",""en"")"),"The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58" spans="1:2" x14ac:dyDescent="0.2">
      <c r="A2658" s="1" t="s">
        <v>4513</v>
      </c>
      <c r="B2658" s="1" t="str">
        <f ca="1">IFERROR(__xludf.DUMFUNCTION("GOOGLETRANSLATE(A2727,""id"",""en"")"),"President Invites State Investment in the Indonesian Clean Energy Sector Jokowi ")</f>
        <v xml:space="preserve">President Invites State Investment in the Indonesian Clean Energy Sector Jokowi </v>
      </c>
    </row>
    <row r="2659" spans="1:2" x14ac:dyDescent="0.2">
      <c r="A2659" s="1" t="s">
        <v>4515</v>
      </c>
      <c r="B2659" s="1" t="str">
        <f ca="1">IFERROR(__xludf.DUMFUNCTION("GOOGLETRANSLATE(A2728,""id"",""en"")"),"Article Hina President Vice President of the Criminal Code Bill Entering Jokowi 's Aduction")</f>
        <v>Article Hina President Vice President of the Criminal Code Bill Entering Jokowi 's Aduction</v>
      </c>
    </row>
    <row r="2660" spans="1:2" x14ac:dyDescent="0.2">
      <c r="A2660" s="1" t="s">
        <v>4522</v>
      </c>
      <c r="B2660" s="1" t="str">
        <f ca="1">IFERROR(__xludf.DUMFUNCTION("GOOGLETRANSLATE(A2729,""id"",""en"")"),"indeed the procedure for buying pertalite  has been socialized, carry a cellphone list of the gas gas station application that checks the police number know")</f>
        <v>indeed the procedure for buying pertalite  has been socialized, carry a cellphone list of the gas gas station application that checks the police number know</v>
      </c>
    </row>
    <row r="2661" spans="1:2" x14ac:dyDescent="0.2">
      <c r="A2661" s="1" t="s">
        <v>4516</v>
      </c>
      <c r="B2661" s="1" t="str">
        <f ca="1">IFERROR(__xludf.DUMFUNCTION("GOOGLETRANSLATE(A2730,""id"",""en"")"),"The Criminal Code Bill absorbs the aspirations of Indonesian people Jokowi ")</f>
        <v xml:space="preserve">The Criminal Code Bill absorbs the aspirations of Indonesian people Jokowi </v>
      </c>
    </row>
    <row r="2662" spans="1:2" x14ac:dyDescent="0.2">
      <c r="A2662" s="1" t="s">
        <v>4523</v>
      </c>
      <c r="B2662" s="1" t="str">
        <f ca="1">IFERROR(__xludf.DUMFUNCTION("GOOGLETRANSLATE(A2731,""id"",""en"")"),"the public fills the BBM manual using the  application")</f>
        <v>the public fills the BBM manual using the  application</v>
      </c>
    </row>
    <row r="2663" spans="1:2" x14ac:dyDescent="0.2">
      <c r="A2663" s="1" t="s">
        <v>4524</v>
      </c>
      <c r="B2663" s="1" t="str">
        <f ca="1">IFERROR(__xludf.DUMFUNCTION("GOOGLETRANSLATE(A2732,""id"",""en"")"),"Record the Car Kendara Must Register  Buy Subsidized BBM")</f>
        <v>Record the Car Kendara Must Register  Buy Subsidized BBM</v>
      </c>
    </row>
    <row r="2664" spans="1:2" x14ac:dyDescent="0.2">
      <c r="A2664" s="1" t="s">
        <v>4525</v>
      </c>
      <c r="B2664" s="1" t="str">
        <f ca="1">IFERROR(__xludf.DUMFUNCTION("GOOGLETRANSLATE(A2733,""id"",""en"")"),"Buy Pertalite Solar List List of  Website")</f>
        <v>Buy Pertalite Solar List List of  Website</v>
      </c>
    </row>
    <row r="2665" spans="1:2" x14ac:dyDescent="0.2">
      <c r="A2665" s="1" t="s">
        <v>4510</v>
      </c>
      <c r="B2665" s="1" t="str">
        <f ca="1">IFERROR(__xludf.DUMFUNCTION("GOOGLETRANSLATE(A2734,""id"",""en"")")," Definitely Distribution of BBM LPG Sasar Jokowi ")</f>
        <v xml:space="preserve"> Definitely Distribution of BBM LPG Sasar Jokowi </v>
      </c>
    </row>
    <row r="2666" spans="1:2" x14ac:dyDescent="0.2">
      <c r="A2666" s="1" t="s">
        <v>4511</v>
      </c>
      <c r="B2666" s="1" t="str">
        <f ca="1">IFERROR(__xludf.DUMFUNCTION("GOOGLETRANSLATE(A2735,""id"",""en"")"),"fortunately the  jokowi  application")</f>
        <v>fortunately the  jokowi  application</v>
      </c>
    </row>
    <row r="2667" spans="1:2" x14ac:dyDescent="0.2">
      <c r="A2667" s="1" t="s">
        <v>4513</v>
      </c>
      <c r="B2667" s="1" t="str">
        <f ca="1">IFERROR(__xludf.DUMFUNCTION("GOOGLETRANSLATE(A2736,""id"",""en"")"),"President Invites State Investment in the Indonesian Clean Energy Sector Jokowi ")</f>
        <v xml:space="preserve">President Invites State Investment in the Indonesian Clean Energy Sector Jokowi </v>
      </c>
    </row>
    <row r="2668" spans="1:2" x14ac:dyDescent="0.2">
      <c r="A2668" s="1" t="s">
        <v>4512</v>
      </c>
      <c r="B2668" s="1" t="str">
        <f ca="1">IFERROR(__xludf.DUMFUNCTION("GOOGLETRANSLATE(A2737,""id"",""en"")"),"The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69" spans="1:2" x14ac:dyDescent="0.2">
      <c r="A2669" s="1" t="s">
        <v>4516</v>
      </c>
      <c r="B2669" s="1" t="str">
        <f ca="1">IFERROR(__xludf.DUMFUNCTION("GOOGLETRANSLATE(A2738,""id"",""en"")"),"The Criminal Code Bill absorbs the aspirations of Indonesian people Jokowi ")</f>
        <v xml:space="preserve">The Criminal Code Bill absorbs the aspirations of Indonesian people Jokowi </v>
      </c>
    </row>
    <row r="2670" spans="1:2" x14ac:dyDescent="0.2">
      <c r="A2670" s="1" t="s">
        <v>4515</v>
      </c>
      <c r="B2670" s="1" t="str">
        <f ca="1">IFERROR(__xludf.DUMFUNCTION("GOOGLETRANSLATE(A2739,""id"",""en"")"),"Article Hina President Vice President of the Criminal Code Bill Entering Jokowi 's Aduction")</f>
        <v>Article Hina President Vice President of the Criminal Code Bill Entering Jokowi 's Aduction</v>
      </c>
    </row>
    <row r="2671" spans="1:2" x14ac:dyDescent="0.2">
      <c r="A2671" s="1" t="s">
        <v>4526</v>
      </c>
      <c r="B2671" s="1" t="str">
        <f ca="1">IFERROR(__xludf.DUMFUNCTION("GOOGLETRANSLATE(A2740,""id"",""en"")"),"Really, thank you, Jokowi, for not, I don't know, Salim , Cares for Top Protection")</f>
        <v>Really, thank you, Jokowi, for not, I don't know, Salim , Cares for Top Protection</v>
      </c>
    </row>
    <row r="2672" spans="1:2" x14ac:dyDescent="0.2">
      <c r="A2672" s="1" t="s">
        <v>4527</v>
      </c>
      <c r="B2672" s="1" t="str">
        <f ca="1">IFERROR(__xludf.DUMFUNCTION("GOOGLETRANSLATE(A2741,""id"",""en"")"),"just protect it can't download ")</f>
        <v xml:space="preserve">just protect it can't download </v>
      </c>
    </row>
    <row r="2673" spans="1:2" x14ac:dyDescent="0.2">
      <c r="A2673" s="1" t="s">
        <v>4510</v>
      </c>
      <c r="B2673" s="1" t="str">
        <f ca="1">IFERROR(__xludf.DUMFUNCTION("GOOGLETRANSLATE(A2742,""id"",""en"")")," Definitely Distribution of BBM LPG Sasar Jokowi ")</f>
        <v xml:space="preserve"> Definitely Distribution of BBM LPG Sasar Jokowi </v>
      </c>
    </row>
    <row r="2674" spans="1:2" x14ac:dyDescent="0.2">
      <c r="A2674" s="1" t="s">
        <v>4511</v>
      </c>
      <c r="B2674" s="1" t="str">
        <f ca="1">IFERROR(__xludf.DUMFUNCTION("GOOGLETRANSLATE(A2743,""id"",""en"")"),"fortunately the  jokowi  application")</f>
        <v>fortunately the  jokowi  application</v>
      </c>
    </row>
    <row r="2675" spans="1:2" x14ac:dyDescent="0.2">
      <c r="A2675" s="1" t="s">
        <v>4512</v>
      </c>
      <c r="B2675" s="1" t="str">
        <f ca="1">IFERROR(__xludf.DUMFUNCTION("GOOGLETRANSLATE(A2744,""id"",""en"")"),"The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76" spans="1:2" x14ac:dyDescent="0.2">
      <c r="A2676" s="1" t="s">
        <v>4513</v>
      </c>
      <c r="B2676" s="1" t="str">
        <f ca="1">IFERROR(__xludf.DUMFUNCTION("GOOGLETRANSLATE(A2745,""id"",""en"")"),"President Invites State Investment in the Indonesian Clean Energy Sector Jokowi ")</f>
        <v xml:space="preserve">President Invites State Investment in the Indonesian Clean Energy Sector Jokowi </v>
      </c>
    </row>
    <row r="2677" spans="1:2" x14ac:dyDescent="0.2">
      <c r="A2677" s="1" t="s">
        <v>4515</v>
      </c>
      <c r="B2677" s="1" t="str">
        <f ca="1">IFERROR(__xludf.DUMFUNCTION("GOOGLETRANSLATE(A2746,""id"",""en"")"),"Article Hina President Vice President of the Criminal Code Bill Entering Jokowi 's Aduction")</f>
        <v>Article Hina President Vice President of the Criminal Code Bill Entering Jokowi 's Aduction</v>
      </c>
    </row>
    <row r="2678" spans="1:2" x14ac:dyDescent="0.2">
      <c r="A2678" s="1" t="s">
        <v>4516</v>
      </c>
      <c r="B2678" s="1" t="str">
        <f ca="1">IFERROR(__xludf.DUMFUNCTION("GOOGLETRANSLATE(A2747,""id"",""en"")"),"The Criminal Code Bill absorbs the aspirations of Indonesian people Jokowi ")</f>
        <v xml:space="preserve">The Criminal Code Bill absorbs the aspirations of Indonesian people Jokowi </v>
      </c>
    </row>
    <row r="2679" spans="1:2" x14ac:dyDescent="0.2">
      <c r="A2679" s="1" t="s">
        <v>4528</v>
      </c>
      <c r="B2679" s="1" t="str">
        <f ca="1">IFERROR(__xludf.DUMFUNCTION("GOOGLETRANSLATE(A2748,""id"",""en"")"),"the memory of his cellphone is full of downloading ")</f>
        <v xml:space="preserve">the memory of his cellphone is full of downloading </v>
      </c>
    </row>
    <row r="2680" spans="1:2" x14ac:dyDescent="0.2">
      <c r="A2680" s="1" t="s">
        <v>4529</v>
      </c>
      <c r="B2680" s="1" t="str">
        <f ca="1">IFERROR(__xludf.DUMFUNCTION("GOOGLETRANSLATE(A2749,""id"",""en"")"),"using the  application doesn't make a card like a complicated toll system if")</f>
        <v>using the  application doesn't make a card like a complicated toll system if</v>
      </c>
    </row>
    <row r="2681" spans="1:2" x14ac:dyDescent="0.2">
      <c r="A2681" s="1" t="s">
        <v>150</v>
      </c>
      <c r="B2681" s="1" t="str">
        <f ca="1">IFERROR(__xludf.DUMFUNCTION("GOOGLETRANSLATE(A2750,""id"",""en"")"),"Lai is dead you are the people of Mi Ski")</f>
        <v>Lai is dead you are the people of Mi Ski</v>
      </c>
    </row>
    <row r="2682" spans="1:2" x14ac:dyDescent="0.2">
      <c r="A2682" s="1" t="s">
        <v>4510</v>
      </c>
      <c r="B2682" s="1" t="str">
        <f ca="1">IFERROR(__xludf.DUMFUNCTION("GOOGLETRANSLATE(A2751,""id"",""en"")")," Definitely Distribution of BBM LPG Sasar Jokowi ")</f>
        <v xml:space="preserve"> Definitely Distribution of BBM LPG Sasar Jokowi </v>
      </c>
    </row>
    <row r="2683" spans="1:2" x14ac:dyDescent="0.2">
      <c r="A2683" s="1" t="s">
        <v>4511</v>
      </c>
      <c r="B2683" s="1" t="str">
        <f ca="1">IFERROR(__xludf.DUMFUNCTION("GOOGLETRANSLATE(A2752,""id"",""en"")"),"fortunately the  jokowi  application")</f>
        <v>fortunately the  jokowi  application</v>
      </c>
    </row>
    <row r="2684" spans="1:2" x14ac:dyDescent="0.2">
      <c r="A2684" s="1" t="s">
        <v>4512</v>
      </c>
      <c r="B2684" s="1" t="str">
        <f ca="1">IFERROR(__xludf.DUMFUNCTION("GOOGLETRANSLATE(A2753,""id"",""en"")"),"The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85" spans="1:2" x14ac:dyDescent="0.2">
      <c r="A2685" s="1" t="s">
        <v>4513</v>
      </c>
      <c r="B2685" s="1" t="str">
        <f ca="1">IFERROR(__xludf.DUMFUNCTION("GOOGLETRANSLATE(A2754,""id"",""en"")"),"President Invites State Investment in the Indonesian Clean Energy Sector Jokowi ")</f>
        <v xml:space="preserve">President Invites State Investment in the Indonesian Clean Energy Sector Jokowi </v>
      </c>
    </row>
    <row r="2686" spans="1:2" x14ac:dyDescent="0.2">
      <c r="A2686" s="1" t="s">
        <v>4530</v>
      </c>
      <c r="B2686" s="1" t="str">
        <f ca="1">IFERROR(__xludf.DUMFUNCTION("GOOGLETRANSLATE(A2755,""id"",""en"")"),"News July  Test Trial List of  Applications Subsidized Website for BBM Subsidy Plans for the Plan of the SCTV Liput SCTV Community Protest System")</f>
        <v>News July  Test Trial List of  Applications Subsidized Website for BBM Subsidy Plans for the Plan of the SCTV Liput SCTV Community Protest System</v>
      </c>
    </row>
    <row r="2687" spans="1:2" x14ac:dyDescent="0.2">
      <c r="A2687" s="1" t="s">
        <v>4515</v>
      </c>
      <c r="B2687" s="1" t="str">
        <f ca="1">IFERROR(__xludf.DUMFUNCTION("GOOGLETRANSLATE(A2756,""id"",""en"")"),"Article Hina President Vice President of the Criminal Code Bill Entering Jokowi 's Aduction")</f>
        <v>Article Hina President Vice President of the Criminal Code Bill Entering Jokowi 's Aduction</v>
      </c>
    </row>
    <row r="2688" spans="1:2" x14ac:dyDescent="0.2">
      <c r="A2688" s="1" t="s">
        <v>4531</v>
      </c>
      <c r="B2688" s="1" t="str">
        <f ca="1">IFERROR(__xludf.DUMFUNCTION("GOOGLETRANSLATE(A2757,""id"",""en"")"),"Pajero Aamiin Fill in Pertalite using  with Avanza Car Data Type GMN Verification of  Data with a car number that carries the dare to reject")</f>
        <v>Pajero Aamiin Fill in Pertalite using  with Avanza Car Data Type GMN Verification of  Data with a car number that carries the dare to reject</v>
      </c>
    </row>
    <row r="2689" spans="1:2" x14ac:dyDescent="0.2">
      <c r="A2689" s="1" t="s">
        <v>4516</v>
      </c>
      <c r="B2689" s="1" t="str">
        <f ca="1">IFERROR(__xludf.DUMFUNCTION("GOOGLETRANSLATE(A2758,""id"",""en"")"),"The Criminal Code Bill absorbs the aspirations of Indonesian people Jokowi ")</f>
        <v xml:space="preserve">The Criminal Code Bill absorbs the aspirations of Indonesian people Jokowi </v>
      </c>
    </row>
    <row r="2690" spans="1:2" x14ac:dyDescent="0.2">
      <c r="A2690" s="1" t="s">
        <v>4510</v>
      </c>
      <c r="B2690" s="1" t="str">
        <f ca="1">IFERROR(__xludf.DUMFUNCTION("GOOGLETRANSLATE(A2759,""id"",""en"")")," Definitely Distribution of BBM LPG Sasar Jokowi ")</f>
        <v xml:space="preserve"> Definitely Distribution of BBM LPG Sasar Jokowi </v>
      </c>
    </row>
    <row r="2691" spans="1:2" x14ac:dyDescent="0.2">
      <c r="A2691" s="1" t="s">
        <v>4511</v>
      </c>
      <c r="B2691" s="1" t="str">
        <f ca="1">IFERROR(__xludf.DUMFUNCTION("GOOGLETRANSLATE(A2760,""id"",""en"")"),"fortunately the  jokowi  application")</f>
        <v>fortunately the  jokowi  application</v>
      </c>
    </row>
    <row r="2692" spans="1:2" x14ac:dyDescent="0.2">
      <c r="A2692" s="1" t="s">
        <v>4532</v>
      </c>
      <c r="B2692" s="1" t="str">
        <f ca="1">IFERROR(__xludf.DUMFUNCTION("GOOGLETRANSLATE(A2761,""id"",""en"")"),"how do you have to use ")</f>
        <v xml:space="preserve">how do you have to use </v>
      </c>
    </row>
    <row r="2693" spans="1:2" x14ac:dyDescent="0.2">
      <c r="A2693" s="1" t="s">
        <v>4512</v>
      </c>
      <c r="B2693" s="1" t="str">
        <f ca="1">IFERROR(__xludf.DUMFUNCTION("GOOGLETRANSLATE(A2762,""id"",""en"")"),"The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694" spans="1:2" x14ac:dyDescent="0.2">
      <c r="A2694" s="1" t="s">
        <v>2995</v>
      </c>
      <c r="B2694" s="1" t="str">
        <f ca="1">IFERROR(__xludf.DUMFUNCTION("GOOGLETRANSLATE(A2763,""id"",""en"")")," considers the troubles of a difficult angkot driver")</f>
        <v xml:space="preserve"> considers the troubles of a difficult angkot driver</v>
      </c>
    </row>
    <row r="2695" spans="1:2" x14ac:dyDescent="0.2">
      <c r="A2695" s="1" t="s">
        <v>4513</v>
      </c>
      <c r="B2695" s="1" t="str">
        <f ca="1">IFERROR(__xludf.DUMFUNCTION("GOOGLETRANSLATE(A2764,""id"",""en"")"),"President Invites State Investment in the Indonesian Clean Energy Sector Jokowi ")</f>
        <v xml:space="preserve">President Invites State Investment in the Indonesian Clean Energy Sector Jokowi </v>
      </c>
    </row>
    <row r="2696" spans="1:2" x14ac:dyDescent="0.2">
      <c r="A2696" s="1" t="s">
        <v>4515</v>
      </c>
      <c r="B2696" s="1" t="str">
        <f ca="1">IFERROR(__xludf.DUMFUNCTION("GOOGLETRANSLATE(A2765,""id"",""en"")"),"Article Hina President Vice President of the Criminal Code Bill Entering Jokowi 's Aduction")</f>
        <v>Article Hina President Vice President of the Criminal Code Bill Entering Jokowi 's Aduction</v>
      </c>
    </row>
    <row r="2697" spans="1:2" x14ac:dyDescent="0.2">
      <c r="A2697" s="1" t="s">
        <v>4516</v>
      </c>
      <c r="B2697" s="1" t="str">
        <f ca="1">IFERROR(__xludf.DUMFUNCTION("GOOGLETRANSLATE(A2766,""id"",""en"")"),"The Criminal Code Bill absorbs the aspirations of Indonesian people Jokowi ")</f>
        <v xml:space="preserve">The Criminal Code Bill absorbs the aspirations of Indonesian people Jokowi </v>
      </c>
    </row>
    <row r="2698" spans="1:2" x14ac:dyDescent="0.2">
      <c r="A2698" s="1" t="s">
        <v>4510</v>
      </c>
      <c r="B2698" s="1" t="str">
        <f ca="1">IFERROR(__xludf.DUMFUNCTION("GOOGLETRANSLATE(A2767,""id"",""en"")")," Definitely Distribution of BBM LPG Sasar Jokowi ")</f>
        <v xml:space="preserve"> Definitely Distribution of BBM LPG Sasar Jokowi </v>
      </c>
    </row>
    <row r="2699" spans="1:2" x14ac:dyDescent="0.2">
      <c r="A2699" s="1" t="s">
        <v>4533</v>
      </c>
      <c r="B2699" s="1" t="str">
        <f ca="1">IFERROR(__xludf.DUMFUNCTION("GOOGLETRANSLATE(A2768,""id"",""en"")"),"Review of the wrong way to get Pertalite Subsidy  ")</f>
        <v xml:space="preserve">Review of the wrong way to get Pertalite Subsidy  </v>
      </c>
    </row>
    <row r="2700" spans="1:2" x14ac:dyDescent="0.2">
      <c r="A2700" s="1" t="s">
        <v>4534</v>
      </c>
      <c r="B2700" s="1" t="str">
        <f ca="1">IFERROR(__xludf.DUMFUNCTION("GOOGLETRANSLATE(A2769,""id"",""en"")"),"Buy LPG Kg List  Set Crazy People Sllu Yang Salangan Regime of Embrace")</f>
        <v>Buy LPG Kg List  Set Crazy People Sllu Yang Salangan Regime of Embrace</v>
      </c>
    </row>
    <row r="2701" spans="1:2" x14ac:dyDescent="0.2">
      <c r="A2701" s="1" t="s">
        <v>4535</v>
      </c>
      <c r="B2701" s="1" t="str">
        <f ca="1">IFERROR(__xludf.DUMFUNCTION("GOOGLETRANSLATE(A2770,""id"",""en"")"),"List of  Data Leaks Mending Fill Pertamax Aj Dah")</f>
        <v>List of  Data Leaks Mending Fill Pertamax Aj Dah</v>
      </c>
    </row>
    <row r="2702" spans="1:2" x14ac:dyDescent="0.2">
      <c r="A2702" s="1" t="s">
        <v>4510</v>
      </c>
      <c r="B2702" s="1" t="str">
        <f ca="1">IFERROR(__xludf.DUMFUNCTION("GOOGLETRANSLATE(A2771,""id"",""en"")")," Definitely Distribution of BBM LPG Sasar Jokowi ")</f>
        <v xml:space="preserve"> Definitely Distribution of BBM LPG Sasar Jokowi </v>
      </c>
    </row>
    <row r="2703" spans="1:2" x14ac:dyDescent="0.2">
      <c r="A2703" s="1" t="s">
        <v>4536</v>
      </c>
      <c r="B2703" s="1" t="str">
        <f ca="1">IFERROR(__xludf.DUMFUNCTION("GOOGLETRANSLATE(A2772,""id"",""en"")"),"Complete information, please contact  Call Center  EnergiJatimbalinus Energy for Patraniaga Patraniagahagajatalimbalinus energizingyourfuture  call subsiditure")</f>
        <v>Complete information, please contact  Call Center  EnergiJatimbalinus Energy for Patraniaga Patraniagahagajatalimbalinus energizingyourfuture  call subsiditure</v>
      </c>
    </row>
    <row r="2704" spans="1:2" x14ac:dyDescent="0.2">
      <c r="A2704" s="1" t="s">
        <v>151</v>
      </c>
      <c r="B2704" s="1" t="str">
        <f ca="1">IFERROR(__xludf.DUMFUNCTION("GOOGLETRANSLATE(A2773,""id"",""en"")"),"General, friend, July, the list of vehicles to buy solar subsidies for the special wheel, let's register")</f>
        <v>General, friend, July, the list of vehicles to buy solar subsidies for the special wheel, let's register</v>
      </c>
    </row>
    <row r="2705" spans="1:2" x14ac:dyDescent="0.2">
      <c r="A2705" s="1" t="s">
        <v>4537</v>
      </c>
      <c r="B2705" s="1" t="str">
        <f ca="1">IFERROR(__xludf.DUMFUNCTION("GOOGLETRANSLATE(A2774,""id"",""en"")"),"Wait for Tweet Tofu Cheating ")</f>
        <v xml:space="preserve">Wait for Tweet Tofu Cheating </v>
      </c>
    </row>
    <row r="2706" spans="1:2" x14ac:dyDescent="0.2">
      <c r="A2706" s="1" t="s">
        <v>4511</v>
      </c>
      <c r="B2706" s="1" t="str">
        <f ca="1">IFERROR(__xludf.DUMFUNCTION("GOOGLETRANSLATE(A2775,""id"",""en"")"),"fortunately the  jokowi  application")</f>
        <v>fortunately the  jokowi  application</v>
      </c>
    </row>
    <row r="2707" spans="1:2" x14ac:dyDescent="0.2">
      <c r="A2707" s="1" t="s">
        <v>4512</v>
      </c>
      <c r="B2707" s="1" t="str">
        <f ca="1">IFERROR(__xludf.DUMFUNCTION("GOOGLETRANSLATE(A2776,""id"",""en"")"),"The process of impeachment of the President of the Vice President of the Indonesian Constitution through the DPR MK MPR MPR ")</f>
        <v xml:space="preserve">The process of impeachment of the President of the Vice President of the Indonesian Constitution through the DPR MK MPR MPR </v>
      </c>
    </row>
    <row r="2708" spans="1:2" x14ac:dyDescent="0.2">
      <c r="A2708" s="1" t="s">
        <v>4513</v>
      </c>
      <c r="B2708" s="1" t="str">
        <f ca="1">IFERROR(__xludf.DUMFUNCTION("GOOGLETRANSLATE(A2777,""id"",""en"")"),"President Invites State Investment in the Indonesian Clean Energy Sector Jokowi ")</f>
        <v xml:space="preserve">President Invites State Investment in the Indonesian Clean Energy Sector Jokowi </v>
      </c>
    </row>
    <row r="2709" spans="1:2" x14ac:dyDescent="0.2">
      <c r="A2709" s="1" t="s">
        <v>4538</v>
      </c>
      <c r="B2709" s="1" t="str">
        <f ca="1">IFERROR(__xludf.DUMFUNCTION("GOOGLETRANSLATE(A2778,""id"",""en"")"),"the blunder isn't the list of  set the gas station not using a strange cellphone")</f>
        <v>the blunder isn't the list of  set the gas station not using a strange cellphone</v>
      </c>
    </row>
    <row r="2710" spans="1:2" x14ac:dyDescent="0.2">
      <c r="A2710" s="1" t="s">
        <v>4515</v>
      </c>
      <c r="B2710" s="1" t="str">
        <f ca="1">IFERROR(__xludf.DUMFUNCTION("GOOGLETRANSLATE(A2779,""id"",""en"")"),"Article Hina President Vice President of the Criminal Code Bill Entering Jokowi 's Aduction")</f>
        <v>Article Hina President Vice President of the Criminal Code Bill Entering Jokowi 's Aduction</v>
      </c>
    </row>
    <row r="2711" spans="1:2" x14ac:dyDescent="0.2">
      <c r="A2711" s="1" t="s">
        <v>4516</v>
      </c>
      <c r="B2711" s="1" t="str">
        <f ca="1">IFERROR(__xludf.DUMFUNCTION("GOOGLETRANSLATE(A2780,""id"",""en"")"),"The Criminal Code Bill absorbs the aspirations of Indonesian people Jokowi ")</f>
        <v xml:space="preserve">The Criminal Code Bill absorbs the aspirations of Indonesian people Jokowi </v>
      </c>
    </row>
    <row r="2712" spans="1:2" x14ac:dyDescent="0.2">
      <c r="A2712" s="1" t="s">
        <v>3353</v>
      </c>
      <c r="B2712" s="1" t="str">
        <f ca="1">IFERROR(__xludf.DUMFUNCTION("GOOGLETRANSLATE(A2781,""id"",""en"")"),"Follow Pertalite Buy LPG Subsidies Using ")</f>
        <v xml:space="preserve">Follow Pertalite Buy LPG Subsidies Using </v>
      </c>
    </row>
    <row r="2713" spans="1:2" x14ac:dyDescent="0.2">
      <c r="A2713" s="1" t="s">
        <v>2501</v>
      </c>
      <c r="B2713" s="1" t="str">
        <f ca="1">IFERROR(__xludf.DUMFUNCTION("GOOGLETRANSLATE(A2782,""id"",""en"")"),"poor people smart phones buy lpg kg using ")</f>
        <v xml:space="preserve">poor people smart phones buy lpg kg using </v>
      </c>
    </row>
    <row r="2714" spans="1:2" x14ac:dyDescent="0.2">
      <c r="A2714" s="1" t="s">
        <v>4539</v>
      </c>
      <c r="B2714" s="1" t="str">
        <f ca="1">IFERROR(__xludf.DUMFUNCTION("GOOGLETRANSLATE(A2783,""id"",""en"")"),"Popo Tag Instagram Tag Azzam Lontong Sipalingmarvel Copotmenteridongok Get Well Soon Yuta Pagi ")</f>
        <v xml:space="preserve">Popo Tag Instagram Tag Azzam Lontong Sipalingmarvel Copotmenteridongok Get Well Soon Yuta Pagi </v>
      </c>
    </row>
    <row r="2715" spans="1:2" x14ac:dyDescent="0.2">
      <c r="A2715" s="1" t="s">
        <v>4540</v>
      </c>
      <c r="B2715" s="1" t="str">
        <f ca="1">IFERROR(__xludf.DUMFUNCTION("GOOGLETRANSLATE(A2784,""id"",""en"")"),"Trying the list of  applications, I have followed the steps to get the OTP code registration.")</f>
        <v>Trying the list of  applications, I have followed the steps to get the OTP code registration.</v>
      </c>
    </row>
    <row r="2716" spans="1:2" x14ac:dyDescent="0.2">
      <c r="A2716" s="1" t="s">
        <v>4541</v>
      </c>
      <c r="B2716" s="1" t="str">
        <f ca="1">IFERROR(__xludf.DUMFUNCTION("GOOGLETRANSLATE(A2785,""id"",""en"")"),"Tomorrow Tomorrow Types of Kendara Mandatory Use  Applications Buy BBM Subsidies Via")</f>
        <v>Tomorrow Tomorrow Types of Kendara Mandatory Use  Applications Buy BBM Subsidies Via</v>
      </c>
    </row>
    <row r="2717" spans="1:2" x14ac:dyDescent="0.2">
      <c r="A2717" s="1" t="s">
        <v>4542</v>
      </c>
      <c r="B2717" s="1" t="str">
        <f ca="1">IFERROR(__xludf.DUMFUNCTION("GOOGLETRANSLATE(A2786,""id"",""en"")")," Application Netiking Making a Cuan Project Application Just like a child of the city of  heart,  village is there for the application and the socialization koentji")</f>
        <v xml:space="preserve"> Application Netiking Making a Cuan Project Application Just like a child of the city of  heart,  village is there for the application and the socialization koentji</v>
      </c>
    </row>
    <row r="2718" spans="1:2" x14ac:dyDescent="0.2">
      <c r="A2718" s="1" t="s">
        <v>4543</v>
      </c>
      <c r="B2718" s="1" t="str">
        <f ca="1">IFERROR(__xludf.DUMFUNCTION("GOOGLETRANSLATE(A2787,""id"",""en"")"),"who are aimed at protests wisely for  applications to buy a solar pertalite for protected applications to buy Migor amp LPG Silah Bintang Sgr Google Smg Effective For Difficult Community Applications")</f>
        <v>who are aimed at protests wisely for  applications to buy a solar pertalite for protected applications to buy Migor amp LPG Silah Bintang Sgr Google Smg Effective For Difficult Community Applications</v>
      </c>
    </row>
    <row r="2719" spans="1:2" x14ac:dyDescent="0.2">
      <c r="A2719" s="1" t="s">
        <v>4544</v>
      </c>
      <c r="B2719" s="1" t="str">
        <f ca="1">IFERROR(__xludf.DUMFUNCTION("GOOGLETRANSLATE(A2788,""id"",""en"")"),"Install ")</f>
        <v xml:space="preserve">Install </v>
      </c>
    </row>
    <row r="2720" spans="1:2" x14ac:dyDescent="0.2">
      <c r="A2720" s="1" t="s">
        <v>4545</v>
      </c>
      <c r="B2720" s="1" t="str">
        <f ca="1">IFERROR(__xludf.DUMFUNCTION("GOOGLETRANSLATE(A2789,""id"",""en"")"),"gapake   just queued gin deh dripada told me to open , if you make a qr that paste the motorb motorbike scan tu qr qr generate from ")</f>
        <v xml:space="preserve">gapake   just queued gin deh dripada told me to open , if you make a qr that paste the motorb motorbike scan tu qr qr generate from </v>
      </c>
    </row>
    <row r="2721" spans="1:2" x14ac:dyDescent="0.2">
      <c r="A2721" s="1" t="s">
        <v>4546</v>
      </c>
      <c r="B2721" s="1" t="str">
        <f ca="1">IFERROR(__xludf.DUMFUNCTION("GOOGLETRANSLATE(A2790,""id"",""en"")"),"Date July Buy BBM Type of Pertalite Solar Application  Wargi Let's sell List of West Java Jabarjuarahiralahiralahirbatin RidwanKamil  applications")</f>
        <v>Date July Buy BBM Type of Pertalite Solar Application  Wargi Let's sell List of West Java Jabarjuarahiralahiralahirbatin RidwanKamil  applications</v>
      </c>
    </row>
    <row r="2722" spans="1:2" x14ac:dyDescent="0.2">
      <c r="A2722" s="1" t="s">
        <v>4547</v>
      </c>
      <c r="B2722" s="1" t="str">
        <f ca="1">IFERROR(__xludf.DUMFUNCTION("GOOGLETRANSLATE(A2791,""id"",""en"")"),"List of  July see clearly the list")</f>
        <v>List of  July see clearly the list</v>
      </c>
    </row>
    <row r="2723" spans="1:2" x14ac:dyDescent="0.2">
      <c r="A2723" s="1" t="s">
        <v>2842</v>
      </c>
      <c r="B2723" s="1" t="str">
        <f ca="1">IFERROR(__xludf.DUMFUNCTION("GOOGLETRANSLATE(A2792,""id"",""en"")"),"Playing HP forbid gas stations to buy pertalite using the  application")</f>
        <v>Playing HP forbid gas stations to buy pertalite using the  application</v>
      </c>
    </row>
    <row r="2724" spans="1:2" x14ac:dyDescent="0.2">
      <c r="A2724" s="1" t="s">
        <v>4548</v>
      </c>
      <c r="B2724" s="1" t="str">
        <f ca="1">IFERROR(__xludf.DUMFUNCTION("GOOGLETRANSLATE(A2793,""id"",""en"")"),"just try to pay using the link  time")</f>
        <v>just try to pay using the link  time</v>
      </c>
    </row>
    <row r="2725" spans="1:2" x14ac:dyDescent="0.2">
      <c r="A2725" s="1" t="s">
        <v>4549</v>
      </c>
      <c r="B2725" s="1" t="str">
        <f ca="1">IFERROR(__xludf.DUMFUNCTION("GOOGLETRANSLATE(A2794,""id"",""en"")"),"skip the list of ")</f>
        <v xml:space="preserve">skip the list of </v>
      </c>
    </row>
    <row r="2726" spans="1:2" x14ac:dyDescent="0.2">
      <c r="A2726" s="1" t="s">
        <v>2995</v>
      </c>
      <c r="B2726" s="1" t="str">
        <f ca="1">IFERROR(__xludf.DUMFUNCTION("GOOGLETRANSLATE(A2795,""id"",""en"")")," considers the troubles of a difficult angkot driver")</f>
        <v xml:space="preserve"> considers the troubles of a difficult angkot driver</v>
      </c>
    </row>
    <row r="2727" spans="1:2" x14ac:dyDescent="0.2">
      <c r="A2727" s="1" t="s">
        <v>4550</v>
      </c>
      <c r="B2727" s="1" t="str">
        <f ca="1">IFERROR(__xludf.DUMFUNCTION("GOOGLETRANSLATE(A2796,""id"",""en"")"),"Pertalite Buy LPG Kg Gas Using  Application")</f>
        <v>Pertalite Buy LPG Kg Gas Using  Application</v>
      </c>
    </row>
    <row r="2728" spans="1:2" x14ac:dyDescent="0.2">
      <c r="A2728" s="1" t="s">
        <v>4551</v>
      </c>
      <c r="B2728" s="1" t="str">
        <f ca="1">IFERROR(__xludf.DUMFUNCTION("GOOGLETRANSLATE(A2797,""id"",""en"")")," Pedulilat Protects Merger Plis")</f>
        <v xml:space="preserve"> Pedulilat Protects Merger Plis</v>
      </c>
    </row>
    <row r="2729" spans="1:2" x14ac:dyDescent="0.2">
      <c r="A2729" s="1" t="s">
        <v>4551</v>
      </c>
      <c r="B2729" s="1" t="str">
        <f ca="1">IFERROR(__xludf.DUMFUNCTION("GOOGLETRANSLATE(A2798,""id"",""en"")")," Pedulilat Protects Merger Plis")</f>
        <v xml:space="preserve"> Pedulilat Protects Merger Plis</v>
      </c>
    </row>
    <row r="2730" spans="1:2" x14ac:dyDescent="0.2">
      <c r="A2730" s="1" t="s">
        <v>4552</v>
      </c>
      <c r="B2730" s="1" t="str">
        <f ca="1">IFERROR(__xludf.DUMFUNCTION("GOOGLETRANSLATE(A2799,""id"",""en"")"),"Yes, it's true that you don't use a gas station if the Indonesian people are monochrome, so that the forced connecting the  Prosperous Application is talking about the application")</f>
        <v>Yes, it's true that you don't use a gas station if the Indonesian people are monochrome, so that the forced connecting the  Prosperous Application is talking about the application</v>
      </c>
    </row>
    <row r="2731" spans="1:2" x14ac:dyDescent="0.2">
      <c r="A2731" s="1" t="s">
        <v>4553</v>
      </c>
      <c r="B2731" s="1" t="str">
        <f ca="1">IFERROR(__xludf.DUMFUNCTION("GOOGLETRANSLATE(A2800,""id"",""en"")"),"buying pertalite must use  opening a cellphone not playing a gas station ah gimane si")</f>
        <v>buying pertalite must use  opening a cellphone not playing a gas station ah gimane si</v>
      </c>
    </row>
    <row r="2732" spans="1:2" x14ac:dyDescent="0.2">
      <c r="A2732" s="1" t="s">
        <v>4554</v>
      </c>
      <c r="B2732" s="1" t="str">
        <f ca="1">IFERROR(__xludf.DUMFUNCTION("GOOGLETRANSLATE(A2801,""id"",""en"")"),"btw talking about  calls children who know install app joss bgt jhabwskbwwhhahahaw sc ecommurz")</f>
        <v>btw talking about  calls children who know install app joss bgt jhabwskbwwhhahahaw sc ecommurz</v>
      </c>
    </row>
    <row r="2733" spans="1:2" x14ac:dyDescent="0.2">
      <c r="A2733" s="1" t="s">
        <v>4555</v>
      </c>
      <c r="B2733" s="1" t="str">
        <f ca="1">IFERROR(__xludf.DUMFUNCTION("GOOGLETRANSLATE(A2802,""id"",""en"")"),"The concept of refusing Kismin people does not cellphone quota ngendgrade  application simple logic stupid people")</f>
        <v>The concept of refusing Kismin people does not cellphone quota ngendgrade  application simple logic stupid people</v>
      </c>
    </row>
    <row r="2734" spans="1:2" x14ac:dyDescent="0.2">
      <c r="A2734" s="1" t="s">
        <v>4556</v>
      </c>
      <c r="B2734" s="1" t="str">
        <f ca="1">IFERROR(__xludf.DUMFUNCTION("GOOGLETRANSLATE(A2803,""id"",""en"")"),"Emg yes now if you buy gasoline told to show  applications")</f>
        <v>Emg yes now if you buy gasoline told to show  applications</v>
      </c>
    </row>
    <row r="2735" spans="1:2" x14ac:dyDescent="0.2">
      <c r="A2735" s="1" t="s">
        <v>4557</v>
      </c>
      <c r="B2735" s="1" t="str">
        <f ca="1">IFERROR(__xludf.DUMFUNCTION("GOOGLETRANSLATE(A2804,""id"",""en"")"),"Buy Pertalite List of  July")</f>
        <v>Buy Pertalite List of  July</v>
      </c>
    </row>
    <row r="2736" spans="1:2" x14ac:dyDescent="0.2">
      <c r="A2736" s="1" t="s">
        <v>4558</v>
      </c>
      <c r="B2736" s="1" t="str">
        <f ca="1">IFERROR(__xludf.DUMFUNCTION("GOOGLETRANSLATE(A2805,""id"",""en"")"),"Install  Buy Pertamax")</f>
        <v>Install  Buy Pertamax</v>
      </c>
    </row>
    <row r="2737" spans="1:2" x14ac:dyDescent="0.2">
      <c r="A2737" s="1" t="s">
        <v>4559</v>
      </c>
      <c r="B2737" s="1" t="str">
        <f ca="1">IFERROR(__xludf.DUMFUNCTION("GOOGLETRANSLATE(A2806,""id"",""en"")")," ngene rating")</f>
        <v xml:space="preserve"> ngene rating</v>
      </c>
    </row>
    <row r="2738" spans="1:2" x14ac:dyDescent="0.2">
      <c r="A2738" s="1" t="s">
        <v>4560</v>
      </c>
      <c r="B2738" s="1" t="str">
        <f ca="1">IFERROR(__xludf.DUMFUNCTION("GOOGLETRANSLATE(A2807,""id"",""en"")"),"Oiya confused add complete information directly check the website of  Call Center  Call Subsiditas")</f>
        <v>Oiya confused add complete information directly check the website of  Call Center  Call Subsiditas</v>
      </c>
    </row>
    <row r="2739" spans="1:2" x14ac:dyDescent="0.2">
      <c r="A2739" s="1" t="s">
        <v>4561</v>
      </c>
      <c r="B2739" s="1" t="str">
        <f ca="1">IFERROR(__xludf.DUMFUNCTION("GOOGLETRANSLATE(A2808,""id"",""en"")"),"Mimin try to explain, let's see the answer to  call subsiditaspas")</f>
        <v>Mimin try to explain, let's see the answer to  call subsiditaspas</v>
      </c>
    </row>
    <row r="2740" spans="1:2" x14ac:dyDescent="0.2">
      <c r="A2740" s="1" t="s">
        <v>4562</v>
      </c>
      <c r="B2740" s="1" t="str">
        <f ca="1">IFERROR(__xludf.DUMFUNCTION("GOOGLETRANSLATE(A2809,""id"",""en"")"),"Wait a minute type the status that sells QR  DM Japri needs fast")</f>
        <v>Wait a minute type the status that sells QR  DM Japri needs fast</v>
      </c>
    </row>
    <row r="2741" spans="1:2" x14ac:dyDescent="0.2">
      <c r="A2741" s="1" t="s">
        <v>4563</v>
      </c>
      <c r="B2741" s="1" t="str">
        <f ca="1">IFERROR(__xludf.DUMFUNCTION("GOOGLETRANSLATE(A2810,""id"",""en"")")," SPBU ACCESS Claims Safe Dangers Lifting Phones")</f>
        <v xml:space="preserve"> SPBU ACCESS Claims Safe Dangers Lifting Phones</v>
      </c>
    </row>
    <row r="2742" spans="1:2" x14ac:dyDescent="0.2">
      <c r="A2742" s="1" t="s">
        <v>4564</v>
      </c>
      <c r="B2742" s="1" t="str">
        <f ca="1">IFERROR(__xludf.DUMFUNCTION("GOOGLETRANSLATE(A2811,""id"",""en"")"),"friend mimin get a solar subsidy pertalite wheel -wheel comment column DM  Call Subsidite")</f>
        <v>friend mimin get a solar subsidy pertalite wheel -wheel comment column DM  Call Subsidite</v>
      </c>
    </row>
    <row r="2743" spans="1:2" x14ac:dyDescent="0.2">
      <c r="A2743" s="1" t="s">
        <v>4565</v>
      </c>
      <c r="B2743" s="1" t="str">
        <f ca="1">IFERROR(__xludf.DUMFUNCTION("GOOGLETRANSLATE(A2812,""id"",""en"")"),"BBM Pay Transaction  Mobile Application Safe Open Hp Gas Station")</f>
        <v>BBM Pay Transaction  Mobile Application Safe Open Hp Gas Station</v>
      </c>
    </row>
    <row r="2744" spans="1:2" x14ac:dyDescent="0.2">
      <c r="A2744" s="1" t="s">
        <v>4566</v>
      </c>
      <c r="B2744" s="1" t="str">
        <f ca="1">IFERROR(__xludf.DUMFUNCTION("GOOGLETRANSLATE(A2813,""id"",""en"")"),"the cellphone supports the  application, how can the public and print the QR code transaction code buying BBM subsidies wisely")</f>
        <v>the cellphone supports the  application, how can the public and print the QR code transaction code buying BBM subsidies wisely</v>
      </c>
    </row>
    <row r="2745" spans="1:2" x14ac:dyDescent="0.2">
      <c r="A2745" s="1" t="s">
        <v>152</v>
      </c>
      <c r="B2745" s="1" t="str">
        <f ca="1">IFERROR(__xludf.DUMFUNCTION("GOOGLETRANSLATE(A2814,""id"",""en"")"),"House of Representatives Commission VI member Rudi Hartono Bangun Wisely Difficult to the public")</f>
        <v>House of Representatives Commission VI member Rudi Hartono Bangun Wisely Difficult to the public</v>
      </c>
    </row>
    <row r="2746" spans="1:2" x14ac:dyDescent="0.2">
      <c r="A2746" s="1" t="s">
        <v>4567</v>
      </c>
      <c r="B2746" s="1" t="str">
        <f ca="1">IFERROR(__xludf.DUMFUNCTION("GOOGLETRANSLATE(A2815,""id"",""en"")")," application outlets list of public gas stations")</f>
        <v xml:space="preserve"> application outlets list of public gas stations</v>
      </c>
    </row>
    <row r="2747" spans="1:2" x14ac:dyDescent="0.2">
      <c r="A2747" s="1" t="s">
        <v>4568</v>
      </c>
      <c r="B2747" s="1" t="str">
        <f ca="1">IFERROR(__xludf.DUMFUNCTION("GOOGLETRANSLATE(A2816,""id"",""en"")"),"Buy Pertalite Mandatory List of  Websites July Confused Reading List Ya Nissan Lovers Nissannews")</f>
        <v>Buy Pertalite Mandatory List of  Websites July Confused Reading List Ya Nissan Lovers Nissannews</v>
      </c>
    </row>
    <row r="2748" spans="1:2" x14ac:dyDescent="0.2">
      <c r="A2748" s="1" t="s">
        <v>4569</v>
      </c>
      <c r="B2748" s="1" t="str">
        <f ca="1">IFERROR(__xludf.DUMFUNCTION("GOOGLETRANSLATE(A2817,""id"",""en"")"),"July  Open List of  SUBSIDI SUBSIDIA WEBSITE")</f>
        <v>July  Open List of  SUBSIDI SUBSIDIA WEBSITE</v>
      </c>
    </row>
    <row r="2749" spans="1:2" x14ac:dyDescent="0.2">
      <c r="A2749" s="1" t="s">
        <v>4570</v>
      </c>
      <c r="B2749" s="1" t="str">
        <f ca="1">IFERROR(__xludf.DUMFUNCTION("GOOGLETRANSLATE(A2818,""id"",""en"")"),"July  Open the BBM BBM SUBSIDI BUBER SUBSIDI SERTALITE SUBSIDI VIAH APPLICATION OF  REGISTER")</f>
        <v>July  Open the BBM BBM SUBSIDI BUBER SUBSIDI SERTALITE SUBSIDI VIAH APPLICATION OF  REGISTER</v>
      </c>
    </row>
    <row r="2750" spans="1:2" x14ac:dyDescent="0.2">
      <c r="A2750" s="1" t="s">
        <v>4571</v>
      </c>
      <c r="B2750" s="1" t="str">
        <f ca="1">IFERROR(__xludf.DUMFUNCTION("GOOGLETRANSLATE(A2820,""id"",""en"")"),"wkwkwkwk kudu install ")</f>
        <v xml:space="preserve">wkwkwkwk kudu install </v>
      </c>
    </row>
    <row r="2751" spans="1:2" x14ac:dyDescent="0.2">
      <c r="A2751" s="1" t="s">
        <v>4572</v>
      </c>
      <c r="B2751" s="1" t="str">
        <f ca="1">IFERROR(__xludf.DUMFUNCTION("GOOGLETRANSLATE(A2821,""id"",""en"")")," is unicorn protected")</f>
        <v xml:space="preserve"> is unicorn protected</v>
      </c>
    </row>
    <row r="2752" spans="1:2" x14ac:dyDescent="0.2">
      <c r="A2752" s="1" t="s">
        <v>4573</v>
      </c>
      <c r="B2752" s="1" t="str">
        <f ca="1">IFERROR(__xludf.DUMFUNCTION("GOOGLETRANSLATE(A2822,""id"",""en"")"),"basic source of task pom mbensin bush buy pertalite with the requirement of the application  behavior vehicle")</f>
        <v>basic source of task pom mbensin bush buy pertalite with the requirement of the application  behavior vehicle</v>
      </c>
    </row>
    <row r="2753" spans="1:2" x14ac:dyDescent="0.2">
      <c r="A2753" s="1" t="s">
        <v>4574</v>
      </c>
      <c r="B2753" s="1" t="str">
        <f ca="1">IFERROR(__xludf.DUMFUNCTION("GOOGLETRANSLATE(A2823,""id"",""en"")"),"You don't know what  means to buy Pertalite using the application, don't do the , told to use  to buy a subsidized fuel pertalite so that it doesn't mafia who plays rations")</f>
        <v>You don't know what  means to buy Pertalite using the application, don't do the , told to use  to buy a subsidized fuel pertalite so that it doesn't mafia who plays rations</v>
      </c>
    </row>
    <row r="2754" spans="1:2" x14ac:dyDescent="0.2">
      <c r="A2754" s="1" t="s">
        <v>4575</v>
      </c>
      <c r="B2754" s="1" t="str">
        <f ca="1">IFERROR(__xludf.DUMFUNCTION("GOOGLETRANSLATE(A2824,""id"",""en"")"),"In the morning the parents have just talked about ")</f>
        <v xml:space="preserve">In the morning the parents have just talked about </v>
      </c>
    </row>
    <row r="2755" spans="1:2" x14ac:dyDescent="0.2">
      <c r="A2755" s="1" t="s">
        <v>4576</v>
      </c>
      <c r="B2755" s="1" t="str">
        <f ca="1">IFERROR(__xludf.DUMFUNCTION("GOOGLETRANSLATE(A2825,""id"",""en"")"),"Wouw Cool  with the  Application")</f>
        <v>Wouw Cool  with the  Application</v>
      </c>
    </row>
    <row r="2756" spans="1:2" x14ac:dyDescent="0.2">
      <c r="A2756" s="1" t="s">
        <v>4577</v>
      </c>
      <c r="B2756" s="1" t="str">
        <f ca="1">IFERROR(__xludf.DUMFUNCTION("GOOGLETRANSLATE(A2826,""id"",""en"")")," SPBU Buy Pertalite Solar")</f>
        <v xml:space="preserve"> SPBU Buy Pertalite Solar</v>
      </c>
    </row>
    <row r="2757" spans="1:2" x14ac:dyDescent="0.2">
      <c r="A2757" s="1" t="s">
        <v>4578</v>
      </c>
      <c r="B2757" s="1" t="str">
        <f ca="1">IFERROR(__xludf.DUMFUNCTION("GOOGLETRANSLATE(A2827,""id"",""en"")"),"Replace the people's mafia loss ampas  moving people's money mafia mafia ecer piles amp distributor oil and gas mafia collaborator amp corporation")</f>
        <v>Replace the people's mafia loss ampas  moving people's money mafia mafia ecer piles amp distributor oil and gas mafia collaborator amp corporation</v>
      </c>
    </row>
    <row r="2758" spans="1:2" x14ac:dyDescent="0.2">
      <c r="A2758" s="1" t="s">
        <v>4579</v>
      </c>
      <c r="B2758" s="1" t="str">
        <f ca="1">IFERROR(__xludf.DUMFUNCTION("GOOGLETRANSLATE(A2828,""id"",""en"")"),"great please use yokk gaess")</f>
        <v>great please use yokk gaess</v>
      </c>
    </row>
    <row r="2759" spans="1:2" x14ac:dyDescent="0.2">
      <c r="A2759" s="1" t="s">
        <v>4580</v>
      </c>
      <c r="B2759" s="1" t="str">
        <f ca="1">IFERROR(__xludf.DUMFUNCTION("GOOGLETRANSLATE(A2829,""id"",""en"")"),"Corporate Secretary of PT  Patra Niaga Irto Ginting Buy BBM Subsidies for Motorcycle Roda Kendara MSH Kendara Not Register Amp Kendara in the  Site Picture Bubile")</f>
        <v>Corporate Secretary of PT  Patra Niaga Irto Ginting Buy BBM Subsidies for Motorcycle Roda Kendara MSH Kendara Not Register Amp Kendara in the  Site Picture Bubile</v>
      </c>
    </row>
    <row r="2760" spans="1:2" x14ac:dyDescent="0.2">
      <c r="A2760" s="1" t="s">
        <v>4581</v>
      </c>
      <c r="B2760" s="1" t="str">
        <f ca="1">IFERROR(__xludf.DUMFUNCTION("GOOGLETRANSLATE(A2830,""id"",""en"")"),"cool using  gaes")</f>
        <v>cool using  gaes</v>
      </c>
    </row>
    <row r="2761" spans="1:2" x14ac:dyDescent="0.2">
      <c r="A2761" s="1" t="s">
        <v>4582</v>
      </c>
      <c r="B2761" s="1" t="str">
        <f ca="1">IFERROR(__xludf.DUMFUNCTION("GOOGLETRANSLATE(A2831,""id"",""en"")"),"The application must be  link must be a pity balance that is not atm mbanking repo")</f>
        <v>The application must be  link must be a pity balance that is not atm mbanking repo</v>
      </c>
    </row>
    <row r="2762" spans="1:2" x14ac:dyDescent="0.2">
      <c r="A2762" s="1" t="s">
        <v>1310</v>
      </c>
      <c r="B2762" s="1" t="str">
        <f ca="1">IFERROR(__xludf.DUMFUNCTION("GOOGLETRANSLATE(A2832,""id"",""en"")")," spirit")</f>
        <v xml:space="preserve"> spirit</v>
      </c>
    </row>
    <row r="2763" spans="1:2" x14ac:dyDescent="0.2">
      <c r="A2763" s="1" t="s">
        <v>4583</v>
      </c>
      <c r="B2763" s="1" t="str">
        <f ca="1">IFERROR(__xludf.DUMFUNCTION("GOOGLETRANSLATE(A2833,""id"",""en"")"),"Alert the official Instagram account  June buy a subsidized fuel list of  for the Roda Roda Kendara Roda Kendara")</f>
        <v>Alert the official Instagram account  June buy a subsidized fuel list of  for the Roda Roda Kendara Roda Kendara</v>
      </c>
    </row>
    <row r="2764" spans="1:2" x14ac:dyDescent="0.2">
      <c r="A2764" s="1" t="s">
        <v>4584</v>
      </c>
      <c r="B2764" s="1" t="str">
        <f ca="1">IFERROR(__xludf.DUMFUNCTION("GOOGLETRANSLATE(A2834,""id"",""en"")"),"when you open the  site, follow the tutorial on the application of the gas station, the gas station is explosive")</f>
        <v>when you open the  site, follow the tutorial on the application of the gas station, the gas station is explosive</v>
      </c>
    </row>
    <row r="2765" spans="1:2" x14ac:dyDescent="0.2">
      <c r="A2765" s="1" t="s">
        <v>4585</v>
      </c>
      <c r="B2765" s="1" t="str">
        <f ca="1">IFERROR(__xludf.DUMFUNCTION("GOOGLETRANSLATE(A2835,""id"",""en"")"),"Yok uses ")</f>
        <v xml:space="preserve">Yok uses </v>
      </c>
    </row>
    <row r="2766" spans="1:2" x14ac:dyDescent="0.2">
      <c r="A2766" s="1" t="s">
        <v>2515</v>
      </c>
      <c r="B2766" s="1" t="str">
        <f ca="1">IFERROR(__xludf.DUMFUNCTION("GOOGLETRANSLATE(A2836,""id"",""en"")"),"read out because I misunderstand  rodiga")</f>
        <v>read out because I misunderstand  rodiga</v>
      </c>
    </row>
    <row r="2767" spans="1:2" x14ac:dyDescent="0.2">
      <c r="A2767" s="1" t="s">
        <v>4586</v>
      </c>
      <c r="B2767" s="1" t="str">
        <f ca="1">IFERROR(__xludf.DUMFUNCTION("GOOGLETRANSLATE(A2837,""id"",""en"")"),"Buy Solar Pertalite using the  application")</f>
        <v>Buy Solar Pertalite using the  application</v>
      </c>
    </row>
    <row r="2768" spans="1:2" x14ac:dyDescent="0.2">
      <c r="A2768" s="1" t="s">
        <v>4587</v>
      </c>
      <c r="B2768" s="1" t="str">
        <f ca="1">IFERROR(__xludf.DUMFUNCTION("GOOGLETRANSLATE(A2838,""id"",""en"")"),"Leaks slot slotgacor paramaticplay habanero pgsoft ma pecaplaslot boocoranslot rtpslot rtpalotonline day after ukraine  azzam pertalite link gacor")</f>
        <v>Leaks slot slotgacor paramaticplay habanero pgsoft ma pecaplaslot boocoranslot rtpslot rtpalotonline day after ukraine  azzam pertalite link gacor</v>
      </c>
    </row>
    <row r="2769" spans="1:2" x14ac:dyDescent="0.2">
      <c r="A2769" s="1" t="s">
        <v>4588</v>
      </c>
      <c r="B2769" s="1" t="str">
        <f ca="1">IFERROR(__xludf.DUMFUNCTION("GOOGLETRANSLATE(A2839,""id"",""en"")"),"Togel Prediction Prediction Prediction Prediction Prediction Prediction Bocorantogel Bandardarat Day after Ukraine  Azzam Pertalite Link Gacor")</f>
        <v>Togel Prediction Prediction Prediction Prediction Prediction Prediction Bocorantogel Bandardarat Day after Ukraine  Azzam Pertalite Link Gacor</v>
      </c>
    </row>
    <row r="2770" spans="1:2" x14ac:dyDescent="0.2">
      <c r="A2770" s="1" t="s">
        <v>153</v>
      </c>
      <c r="B2770" s="1" t="str">
        <f ca="1">IFERROR(__xludf.DUMFUNCTION("GOOGLETRANSLATE(A2840,""id"",""en"")"),"detikers are not going to buy a solar pertalite limit, let's poll")</f>
        <v>detikers are not going to buy a solar pertalite limit, let's poll</v>
      </c>
    </row>
    <row r="2771" spans="1:2" x14ac:dyDescent="0.2">
      <c r="A2771" s="1" t="s">
        <v>4589</v>
      </c>
      <c r="B2771" s="1" t="str">
        <f ca="1">IFERROR(__xludf.DUMFUNCTION("GOOGLETRANSLATE(A2841,""id"",""en"")"),"Fortunately, I got the  application for a prize point")</f>
        <v>Fortunately, I got the  application for a prize point</v>
      </c>
    </row>
    <row r="2772" spans="1:2" x14ac:dyDescent="0.2">
      <c r="A2772" s="1" t="s">
        <v>4590</v>
      </c>
      <c r="B2772" s="1" t="str">
        <f ca="1">IFERROR(__xludf.DUMFUNCTION("GOOGLETRANSLATE(A2842,""id"",""en"")"),"List of  Application Buy Fuel Fuel Fuel Pertalite Solar Subsidized Discuss Zonabanten Prmn News Articles")</f>
        <v>List of  Application Buy Fuel Fuel Fuel Pertalite Solar Subsidized Discuss Zonabanten Prmn News Articles</v>
      </c>
    </row>
    <row r="2773" spans="1:2" x14ac:dyDescent="0.2">
      <c r="A2773" s="1" t="s">
        <v>4591</v>
      </c>
      <c r="B2773" s="1" t="str">
        <f ca="1">IFERROR(__xludf.DUMFUNCTION("GOOGLETRANSLATE(A2843,""id"",""en"")"),"Bom know using the  application, the contents of the gas station are not active, hp")</f>
        <v>Bom know using the  application, the contents of the gas station are not active, hp</v>
      </c>
    </row>
    <row r="2774" spans="1:2" x14ac:dyDescent="0.2">
      <c r="A2774" s="1" t="s">
        <v>4592</v>
      </c>
      <c r="B2774" s="1" t="str">
        <f ca="1">IFERROR(__xludf.DUMFUNCTION("GOOGLETRANSLATE(A2844,""id"",""en"")"),"Andre Rosiade Proposed Residents of Mobile Phone List  SPBU")</f>
        <v>Andre Rosiade Proposed Residents of Mobile Phone List  SPBU</v>
      </c>
    </row>
    <row r="2775" spans="1:2" x14ac:dyDescent="0.2">
      <c r="A2775" s="1" t="s">
        <v>4593</v>
      </c>
      <c r="B2775" s="1" t="str">
        <f ca="1">IFERROR(__xludf.DUMFUNCTION("GOOGLETRANSLATE(A2845,""id"",""en"")"),"Ngisi Bengsin Full Ceekkk Sakdurunge Kudu Nganggo ")</f>
        <v xml:space="preserve">Ngisi Bengsin Full Ceekkk Sakdurunge Kudu Nganggo </v>
      </c>
    </row>
    <row r="2776" spans="1:2" x14ac:dyDescent="0.2">
      <c r="A2776" s="1" t="s">
        <v>4594</v>
      </c>
      <c r="B2776" s="1" t="str">
        <f ca="1">IFERROR(__xludf.DUMFUNCTION("GOOGLETRANSLATE(A2846,""id"",""en"")"),"if you buy using a good application  prepare a courier so that you don't lose papaloren")</f>
        <v>if you buy using a good application  prepare a courier so that you don't lose papaloren</v>
      </c>
    </row>
    <row r="2777" spans="1:2" x14ac:dyDescent="0.2">
      <c r="A2777" s="1" t="s">
        <v>4595</v>
      </c>
      <c r="B2777" s="1" t="str">
        <f ca="1">IFERROR(__xludf.DUMFUNCTION("GOOGLETRANSLATE(A2847,""id"",""en"")"),"Apani Rame  Privilege lives jabodetabek if the motorbike is better to buy queuing up to fill Vivo Shell")</f>
        <v>Apani Rame  Privilege lives jabodetabek if the motorbike is better to buy queuing up to fill Vivo Shell</v>
      </c>
    </row>
    <row r="2778" spans="1:2" x14ac:dyDescent="0.2">
      <c r="A2778" s="1" t="s">
        <v>4596</v>
      </c>
      <c r="B2778" s="1" t="str">
        <f ca="1">IFERROR(__xludf.DUMFUNCTION("GOOGLETRANSLATE(A2848,""id"",""en"")"),"Thank God, buying solar pertalite must be ")</f>
        <v xml:space="preserve">Thank God, buying solar pertalite must be </v>
      </c>
    </row>
    <row r="2779" spans="1:2" x14ac:dyDescent="0.2">
      <c r="A2779" s="1" t="s">
        <v>994</v>
      </c>
      <c r="B2779" s="1" t="str">
        <f ca="1">IFERROR(__xludf.DUMFUNCTION("GOOGLETRANSLATE(A2849,""id"",""en"")"),"BBM Pertalite Solar PT  Persero Plan for the Appraisal System Receive Subsidies LP")</f>
        <v>BBM Pertalite Solar PT  Persero Plan for the Appraisal System Receive Subsidies LP</v>
      </c>
    </row>
    <row r="2780" spans="1:2" x14ac:dyDescent="0.2">
      <c r="A2780" s="1" t="s">
        <v>4597</v>
      </c>
      <c r="B2780" s="1" t="str">
        <f ca="1">IFERROR(__xludf.DUMFUNCTION("GOOGLETRANSLATE(A2850,""id"",""en"")"),"Bill Criminal Code Mapping Data Sitting via the  Application Pedulilat Gw Giga")</f>
        <v>Bill Criminal Code Mapping Data Sitting via the  Application Pedulilat Gw Giga</v>
      </c>
    </row>
    <row r="2781" spans="1:2" x14ac:dyDescent="0.2">
      <c r="A2781" s="1" t="s">
        <v>4598</v>
      </c>
      <c r="B2781" s="1" t="str">
        <f ca="1">IFERROR(__xludf.DUMFUNCTION("GOOGLETRANSLATE(A2851,""id"",""en"")"),"Buy LPG KG GAS using the Complete  Laku application click Taut Jakarta LPG LPG ")</f>
        <v xml:space="preserve">Buy LPG KG GAS using the Complete  Laku application click Taut Jakarta LPG LPG </v>
      </c>
    </row>
    <row r="2782" spans="1:2" x14ac:dyDescent="0.2">
      <c r="A2782" s="1" t="s">
        <v>4599</v>
      </c>
      <c r="B2782" s="1" t="str">
        <f ca="1">IFERROR(__xludf.DUMFUNCTION("GOOGLETRANSLATE(A2852,""id"",""en"")"),"WTA who uses the  gas station application, how about zonauang")</f>
        <v>WTA who uses the  gas station application, how about zonauang</v>
      </c>
    </row>
    <row r="2783" spans="1:2" x14ac:dyDescent="0.2">
      <c r="A2783" s="1" t="s">
        <v>4600</v>
      </c>
      <c r="B2783" s="1" t="str">
        <f ca="1">IFERROR(__xludf.DUMFUNCTION("GOOGLETRANSLATE(A2853,""id"",""en"")"),"Trial of buying subsidized fuel via  difficult people")</f>
        <v>Trial of buying subsidized fuel via  difficult people</v>
      </c>
    </row>
    <row r="2784" spans="1:2" x14ac:dyDescent="0.2">
      <c r="A2784" s="1" t="s">
        <v>4601</v>
      </c>
      <c r="B2784" s="1" t="str">
        <f ca="1">IFERROR(__xludf.DUMFUNCTION("GOOGLETRANSLATE(A2854,""id"",""en"")")," SPBU ACCESS SAFE SAFE CLAINT DANGERAGE CALL OF BANDARLAMPUNG SUMATRA")</f>
        <v xml:space="preserve"> SPBU ACCESS SAFE SAFE CLAINT DANGERAGE CALL OF BANDARLAMPUNG SUMATRA</v>
      </c>
    </row>
    <row r="2785" spans="1:2" x14ac:dyDescent="0.2">
      <c r="A2785" s="1" t="s">
        <v>4602</v>
      </c>
      <c r="B2785" s="1" t="str">
        <f ca="1">IFERROR(__xludf.DUMFUNCTION("GOOGLETRANSLATE(A2855,""id"",""en"")"),"Pertalite Solar Buy Melon Gas Using the  Application")</f>
        <v>Pertalite Solar Buy Melon Gas Using the  Application</v>
      </c>
    </row>
    <row r="2786" spans="1:2" x14ac:dyDescent="0.2">
      <c r="A2786" s="1" t="s">
        <v>4603</v>
      </c>
      <c r="B2786" s="1" t="str">
        <f ca="1">IFERROR(__xludf.DUMFUNCTION("GOOGLETRANSLATE(A2856,""id"",""en"")"),"List of  Application")</f>
        <v>List of  Application</v>
      </c>
    </row>
    <row r="2787" spans="1:2" x14ac:dyDescent="0.2">
      <c r="A2787" s="1" t="s">
        <v>4603</v>
      </c>
      <c r="B2787" s="1" t="str">
        <f ca="1">IFERROR(__xludf.DUMFUNCTION("GOOGLETRANSLATE(A2858,""id"",""en"")"),"List of  Application")</f>
        <v>List of  Application</v>
      </c>
    </row>
    <row r="2788" spans="1:2" x14ac:dyDescent="0.2">
      <c r="A2788" s="1" t="s">
        <v>4604</v>
      </c>
      <c r="B2788" s="1" t="str">
        <f ca="1">IFERROR(__xludf.DUMFUNCTION("GOOGLETRANSLATE(A2859,""id"",""en"")")," I laughed")</f>
        <v xml:space="preserve"> I laughed</v>
      </c>
    </row>
    <row r="2789" spans="1:2" x14ac:dyDescent="0.2">
      <c r="A2789" s="1" t="s">
        <v>4605</v>
      </c>
      <c r="B2789" s="1" t="str">
        <f ca="1">IFERROR(__xludf.DUMFUNCTION("GOOGLETRANSLATE(A2860,""id"",""en"")")," contents rb yes")</f>
        <v xml:space="preserve"> contents rb yes</v>
      </c>
    </row>
    <row r="2790" spans="1:2" x14ac:dyDescent="0.2">
      <c r="A2790" s="1" t="s">
        <v>154</v>
      </c>
      <c r="B2790" s="1" t="str">
        <f ca="1">IFERROR(__xludf.DUMFUNCTION("GOOGLETRANSLATE(A2861,""id"",""en"")"),"selection of rich gin -rich salar subsidies")</f>
        <v>selection of rich gin -rich salar subsidies</v>
      </c>
    </row>
    <row r="2791" spans="1:2" x14ac:dyDescent="0.2">
      <c r="A2791" s="1" t="s">
        <v>4606</v>
      </c>
      <c r="B2791" s="1" t="str">
        <f ca="1">IFERROR(__xludf.DUMFUNCTION("GOOGLETRANSLATE(A2862,""id"",""en"")"),"just download ")</f>
        <v xml:space="preserve">just download </v>
      </c>
    </row>
    <row r="2792" spans="1:2" x14ac:dyDescent="0.2">
      <c r="A2792" s="1" t="s">
        <v>2607</v>
      </c>
      <c r="B2792" s="1" t="str">
        <f ca="1">IFERROR(__xludf.DUMFUNCTION("GOOGLETRANSLATE(A2863,""id"",""en"")"),"buy lpg kg using  march the base of the order")</f>
        <v>buy lpg kg using  march the base of the order</v>
      </c>
    </row>
    <row r="2793" spans="1:2" x14ac:dyDescent="0.2">
      <c r="A2793" s="1" t="s">
        <v>4607</v>
      </c>
      <c r="B2793" s="1" t="str">
        <f ca="1">IFERROR(__xludf.DUMFUNCTION("GOOGLETRANSLATE(A2864,""id"",""en"")"),"Really they are in the people of the People's Race with the Mode of Application ")</f>
        <v xml:space="preserve">Really they are in the people of the People's Race with the Mode of Application </v>
      </c>
    </row>
    <row r="2794" spans="1:2" x14ac:dyDescent="0.2">
      <c r="A2794" s="1" t="s">
        <v>4608</v>
      </c>
      <c r="B2794" s="1" t="str">
        <f ca="1">IFERROR(__xludf.DUMFUNCTION("GOOGLETRANSLATE(A2865,""id"",""en"")"),"Fess  emg, just list the apk or the web too or how confused the news is already read the news too")</f>
        <v>Fess  emg, just list the apk or the web too or how confused the news is already read the news too</v>
      </c>
    </row>
    <row r="2795" spans="1:2" x14ac:dyDescent="0.2">
      <c r="A2795" s="1" t="s">
        <v>4609</v>
      </c>
      <c r="B2795" s="1" t="str">
        <f ca="1">IFERROR(__xludf.DUMFUNCTION("GOOGLETRANSLATE(A2866,""id"",""en"")"),"Beritasonora Must Use  Buy Pertalite Solar July")</f>
        <v>Beritasonora Must Use  Buy Pertalite Solar July</v>
      </c>
    </row>
    <row r="2796" spans="1:2" x14ac:dyDescent="0.2">
      <c r="A2796" s="1" t="s">
        <v>4503</v>
      </c>
      <c r="B2796" s="1" t="str">
        <f ca="1">IFERROR(__xludf.DUMFUNCTION("GOOGLETRANSLATE(A2867,""id"",""en"")"),"Support the  application")</f>
        <v>Support the  application</v>
      </c>
    </row>
    <row r="2797" spans="1:2" x14ac:dyDescent="0.2">
      <c r="A2797" s="1" t="s">
        <v>155</v>
      </c>
      <c r="B2797" s="1" t="str">
        <f ca="1">IFERROR(__xludf.DUMFUNCTION("GOOGLETRANSLATE(A2868,""id"",""en"")"),"likex no later enter the toilet using the application")</f>
        <v>likex no later enter the toilet using the application</v>
      </c>
    </row>
    <row r="2798" spans="1:2" x14ac:dyDescent="0.2">
      <c r="A2798" s="1" t="s">
        <v>4610</v>
      </c>
      <c r="B2798" s="1" t="str">
        <f ca="1">IFERROR(__xludf.DUMFUNCTION("GOOGLETRANSLATE(A2869,""id"",""en"")"),"   Dun Gu Application  Hajar Malcraft Netizens Rating plummeted")</f>
        <v xml:space="preserve">   Dun Gu Application  Hajar Malcraft Netizens Rating plummeted</v>
      </c>
    </row>
    <row r="2799" spans="1:2" x14ac:dyDescent="0.2">
      <c r="A2799" s="1" t="s">
        <v>4611</v>
      </c>
      <c r="B2799" s="1" t="str">
        <f ca="1">IFERROR(__xludf.DUMFUNCTION("GOOGLETRANSLATE(A2870,""id"",""en"")")," Application Means of Supercepast Public Money Money")</f>
        <v xml:space="preserve"> Application Means of Supercepast Public Money Money</v>
      </c>
    </row>
    <row r="2800" spans="1:2" x14ac:dyDescent="0.2">
      <c r="A2800" s="1" t="s">
        <v>4612</v>
      </c>
      <c r="B2800" s="1" t="str">
        <f ca="1">IFERROR(__xludf.DUMFUNCTION("GOOGLETRANSLATE(A2871,""id"",""en"")"),"Trial Buy Pertalite Using  On July Tempofoto")</f>
        <v>Trial Buy Pertalite Using  On July Tempofoto</v>
      </c>
    </row>
    <row r="2801" spans="1:2" x14ac:dyDescent="0.2">
      <c r="A2801" s="1" t="s">
        <v>4613</v>
      </c>
      <c r="B2801" s="1" t="str">
        <f ca="1">IFERROR(__xludf.DUMFUNCTION("GOOGLETRANSLATE(A2872,""id"",""en"")"),"The  application is installed million to be safe for the data to use the application, I am suspicious of being afraid")</f>
        <v>The  application is installed million to be safe for the data to use the application, I am suspicious of being afraid</v>
      </c>
    </row>
    <row r="2802" spans="1:2" x14ac:dyDescent="0.2">
      <c r="A2802" s="1" t="s">
        <v>4614</v>
      </c>
      <c r="B2802" s="1" t="str">
        <f ca="1">IFERROR(__xludf.DUMFUNCTION("GOOGLETRANSLATE(A2873,""id"",""en"")"),"news if the contents of the gasoline show the barcode qr  application task contents of the pom forbids the prohibition of playing the cellphone paste the task of the fuel contents")</f>
        <v>news if the contents of the gasoline show the barcode qr  application task contents of the pom forbids the prohibition of playing the cellphone paste the task of the fuel contents</v>
      </c>
    </row>
    <row r="2803" spans="1:2" x14ac:dyDescent="0.2">
      <c r="A2803" s="1" t="s">
        <v>4615</v>
      </c>
      <c r="B2803" s="1" t="str">
        <f ca="1">IFERROR(__xludf.DUMFUNCTION("GOOGLETRANSLATE(A2874,""id"",""en"")"),"Basic anyway, the list of people who need people who are rich in stubborn who fill BBM who subsidized only the application of  application")</f>
        <v>Basic anyway, the list of people who need people who are rich in stubborn who fill BBM who subsidized only the application of  application</v>
      </c>
    </row>
    <row r="2804" spans="1:2" x14ac:dyDescent="0.2">
      <c r="A2804" s="1" t="s">
        <v>4616</v>
      </c>
      <c r="B2804" s="1" t="str">
        <f ca="1">IFERROR(__xludf.DUMFUNCTION("GOOGLETRANSLATE(A2875,""id"",""en"")"),"The story of the  application is not used")</f>
        <v>The story of the  application is not used</v>
      </c>
    </row>
    <row r="2805" spans="1:2" x14ac:dyDescent="0.2">
      <c r="A2805" s="1" t="s">
        <v>4617</v>
      </c>
      <c r="B2805" s="1" t="str">
        <f ca="1">IFERROR(__xludf.DUMFUNCTION("GOOGLETRANSLATE(A2876,""id"",""en"")"),"try  gas station different regions of the provinces of the provinces")</f>
        <v>try  gas station different regions of the provinces of the provinces</v>
      </c>
    </row>
    <row r="2806" spans="1:2" x14ac:dyDescent="0.2">
      <c r="A2806" s="1" t="s">
        <v>4618</v>
      </c>
      <c r="B2806" s="1" t="str">
        <f ca="1">IFERROR(__xludf.DUMFUNCTION("GOOGLETRANSLATE(A2877,""id"",""en"")")," The difficult value of consumers is clearly ")</f>
        <v xml:space="preserve"> The difficult value of consumers is clearly </v>
      </c>
    </row>
    <row r="2807" spans="1:2" x14ac:dyDescent="0.2">
      <c r="A2807" s="1" t="s">
        <v>4619</v>
      </c>
      <c r="B2807" s="1" t="str">
        <f ca="1">IFERROR(__xludf.DUMFUNCTION("GOOGLETRANSLATE(A2878,""id"",""en"")")," application requires a cellphone quota for eye skill application that is aware of not disabled risk lam")</f>
        <v xml:space="preserve"> application requires a cellphone quota for eye skill application that is aware of not disabled risk lam</v>
      </c>
    </row>
    <row r="2808" spans="1:2" x14ac:dyDescent="0.2">
      <c r="A2808" s="1" t="s">
        <v>156</v>
      </c>
      <c r="B2808" s="1" t="str">
        <f ca="1">IFERROR(__xludf.DUMFUNCTION("GOOGLETRANSLATE(A2879,""id"",""en"")"),"fortunately using firewood")</f>
        <v>fortunately using firewood</v>
      </c>
    </row>
    <row r="2809" spans="1:2" x14ac:dyDescent="0.2">
      <c r="A2809" s="1" t="s">
        <v>157</v>
      </c>
      <c r="B2809" s="1" t="str">
        <f ca="1">IFERROR(__xludf.DUMFUNCTION("GOOGLETRANSLATE(A2880,""id"",""en"")"),"Prevent corruption who is the main focus of the main BUMN regime in the criticism of the regime in criticism")</f>
        <v>Prevent corruption who is the main focus of the main BUMN regime in the criticism of the regime in criticism</v>
      </c>
    </row>
    <row r="2810" spans="1:2" x14ac:dyDescent="0.2">
      <c r="A2810" s="1" t="s">
        <v>3966</v>
      </c>
      <c r="B2810" s="1" t="str">
        <f ca="1">IFERROR(__xludf.DUMFUNCTION("GOOGLETRANSLATE(A2881,""id"",""en"")"),"buy subsidized fuel using  rudi hartono difficult people")</f>
        <v>buy subsidized fuel using  rudi hartono difficult people</v>
      </c>
    </row>
    <row r="2811" spans="1:2" x14ac:dyDescent="0.2">
      <c r="A2811" s="1" t="s">
        <v>4618</v>
      </c>
      <c r="B2811" s="1" t="str">
        <f ca="1">IFERROR(__xludf.DUMFUNCTION("GOOGLETRANSLATE(A2882,""id"",""en"")")," The difficult value of consumers is clearly ")</f>
        <v xml:space="preserve"> The difficult value of consumers is clearly </v>
      </c>
    </row>
    <row r="2812" spans="1:2" x14ac:dyDescent="0.2">
      <c r="A2812" s="1" t="s">
        <v>4620</v>
      </c>
      <c r="B2812" s="1" t="str">
        <f ca="1">IFERROR(__xludf.DUMFUNCTION("GOOGLETRANSLATE(A2883,""id"",""en"")"),"Jogja is one of the trial areas for the  application to buy BBM July Pertalite")</f>
        <v>Jogja is one of the trial areas for the  application to buy BBM July Pertalite</v>
      </c>
    </row>
    <row r="2813" spans="1:2" x14ac:dyDescent="0.2">
      <c r="A2813" s="1" t="s">
        <v>4617</v>
      </c>
      <c r="B2813" s="1" t="str">
        <f ca="1">IFERROR(__xludf.DUMFUNCTION("GOOGLETRANSLATE(A2884,""id"",""en"")"),"try  gas station different regions of the provinces of the provinces")</f>
        <v>try  gas station different regions of the provinces of the provinces</v>
      </c>
    </row>
    <row r="2814" spans="1:2" x14ac:dyDescent="0.2">
      <c r="A2814" s="1" t="s">
        <v>4618</v>
      </c>
      <c r="B2814" s="1" t="str">
        <f ca="1">IFERROR(__xludf.DUMFUNCTION("GOOGLETRANSLATE(A2885,""id"",""en"")")," The difficult value of consumers is clearly ")</f>
        <v xml:space="preserve"> The difficult value of consumers is clearly </v>
      </c>
    </row>
    <row r="2815" spans="1:2" x14ac:dyDescent="0.2">
      <c r="A2815" s="1" t="s">
        <v>2788</v>
      </c>
      <c r="B2815" s="1" t="str">
        <f ca="1">IFERROR(__xludf.DUMFUNCTION("GOOGLETRANSLATE(A2886,""id"",""en"")")," Hajar application diarrhea rating netizens plummeted")</f>
        <v xml:space="preserve"> Hajar application diarrhea rating netizens plummeted</v>
      </c>
    </row>
    <row r="2816" spans="1:2" x14ac:dyDescent="0.2">
      <c r="A2816" s="1" t="s">
        <v>4621</v>
      </c>
      <c r="B2816" s="1" t="str">
        <f ca="1">IFERROR(__xludf.DUMFUNCTION("GOOGLETRANSLATE(A2887,""id"",""en"")"),"List of  Applications Buy Pertalite Kabartrenggalek Trenggalek Read")</f>
        <v>List of  Applications Buy Pertalite Kabartrenggalek Trenggalek Read</v>
      </c>
    </row>
    <row r="2817" spans="1:2" x14ac:dyDescent="0.2">
      <c r="A2817" s="1" t="s">
        <v>158</v>
      </c>
      <c r="B2817" s="1" t="str">
        <f ca="1">IFERROR(__xludf.DUMFUNCTION("GOOGLETRANSLATE(A2888,""id"",""en"")"),"Pertalite Buy LPG Kg List")</f>
        <v>Pertalite Buy LPG Kg List</v>
      </c>
    </row>
    <row r="2818" spans="1:2" x14ac:dyDescent="0.2">
      <c r="A2818" s="1" t="s">
        <v>4622</v>
      </c>
      <c r="B2818" s="1" t="str">
        <f ca="1">IFERROR(__xludf.DUMFUNCTION("GOOGLETRANSLATE(A2889,""id"",""en"")"),"Rame, buy pertalite via , 's trial of West Sumatra Province, South Sulawesi, West Java DIY")</f>
        <v>Rame, buy pertalite via , 's trial of West Sumatra Province, South Sulawesi, West Java DIY</v>
      </c>
    </row>
    <row r="2819" spans="1:2" x14ac:dyDescent="0.2">
      <c r="A2819" s="1" t="s">
        <v>4623</v>
      </c>
      <c r="B2819" s="1" t="str">
        <f ca="1">IFERROR(__xludf.DUMFUNCTION("GOOGLETRANSLATE(A2890,""id"",""en"")"),"the toilet use  or not")</f>
        <v>the toilet use  or not</v>
      </c>
    </row>
    <row r="2820" spans="1:2" x14ac:dyDescent="0.2">
      <c r="A2820" s="1" t="s">
        <v>4624</v>
      </c>
      <c r="B2820" s="1" t="str">
        <f ca="1">IFERROR(__xludf.DUMFUNCTION("GOOGLETRANSLATE(A2891,""id"",""en"")"),"Alas refer to  Set Buy BBM subsidies  is really aimed")</f>
        <v>Alas refer to  Set Buy BBM subsidies  is really aimed</v>
      </c>
    </row>
    <row r="2821" spans="1:2" x14ac:dyDescent="0.2">
      <c r="A2821" s="1" t="s">
        <v>4625</v>
      </c>
      <c r="B2821" s="1" t="str">
        <f ca="1">IFERROR(__xludf.DUMFUNCTION("GOOGLETRANSLATE(A2892,""id"",""en"")")," is tight buying BBM using  Check the list of New Brand It  Dream")</f>
        <v xml:space="preserve"> is tight buying BBM using  Check the list of New Brand It  Dream</v>
      </c>
    </row>
    <row r="2822" spans="1:2" x14ac:dyDescent="0.2">
      <c r="A2822" s="1" t="s">
        <v>4626</v>
      </c>
      <c r="B2822" s="1" t="str">
        <f ca="1">IFERROR(__xludf.DUMFUNCTION("GOOGLETRANSLATE(A2893,""id"",""en"")"),"buy fuel subsidies   please protect the community of favors fuel subsidies")</f>
        <v>buy fuel subsidies   please protect the community of favors fuel subsidies</v>
      </c>
    </row>
    <row r="2823" spans="1:2" x14ac:dyDescent="0.2">
      <c r="A2823" s="1" t="s">
        <v>4627</v>
      </c>
      <c r="B2823" s="1" t="str">
        <f ca="1">IFERROR(__xludf.DUMFUNCTION("GOOGLETRANSLATE(A2894,""id"",""en"")"),"Fact of Buying  Good Steps to Take  Salur BBM Subsidized Sasar")</f>
        <v>Fact of Buying  Good Steps to Take  Salur BBM Subsidized Sasar</v>
      </c>
    </row>
    <row r="2824" spans="1:2" x14ac:dyDescent="0.2">
      <c r="A2824" s="1" t="s">
        <v>4628</v>
      </c>
      <c r="B2824" s="1" t="str">
        <f ca="1">IFERROR(__xludf.DUMFUNCTION("GOOGLETRANSLATE(A2895,""id"",""en"")"),"The application must be  link must be a pity balance that is not atm")</f>
        <v>The application must be  link must be a pity balance that is not atm</v>
      </c>
    </row>
    <row r="2825" spans="1:2" x14ac:dyDescent="0.2">
      <c r="A2825" s="1" t="s">
        <v>4629</v>
      </c>
      <c r="B2825" s="1" t="str">
        <f ca="1">IFERROR(__xludf.DUMFUNCTION("GOOGLETRANSLATE(A2896,""id"",""en"")"),"Guna Pertamax Cares with  hehe")</f>
        <v>Guna Pertamax Cares with  hehe</v>
      </c>
    </row>
    <row r="2826" spans="1:2" x14ac:dyDescent="0.2">
      <c r="A2826" s="1" t="s">
        <v>4630</v>
      </c>
      <c r="B2826" s="1" t="str">
        <f ca="1">IFERROR(__xludf.DUMFUNCTION("GOOGLETRANSLATE(A2897,""id"",""en"")"),"Register via the  Website, protect the community of BBM BBM subsidies, a list of open lists via the July website")</f>
        <v>Register via the  Website, protect the community of BBM BBM subsidies, a list of open lists via the July website</v>
      </c>
    </row>
    <row r="2827" spans="1:2" x14ac:dyDescent="0.2">
      <c r="A2827" s="1" t="s">
        <v>4631</v>
      </c>
      <c r="B2827" s="1" t="str">
        <f ca="1">IFERROR(__xludf.DUMFUNCTION("GOOGLETRANSLATE(A2898,""id"",""en"")"),"Indonesia Country  Application Makes  LPG Transactions Gasoline Solar Pedulilat Protect train aircraft Buy Kang Fried Cooking Oil Turn Making Ourgorengan Ar Applications Premium")</f>
        <v>Indonesia Country  Application Makes  LPG Transactions Gasoline Solar Pedulilat Protect train aircraft Buy Kang Fried Cooking Oil Turn Making Ourgorengan Ar Applications Premium</v>
      </c>
    </row>
    <row r="2828" spans="1:2" x14ac:dyDescent="0.2">
      <c r="A2828" s="1" t="s">
        <v>4632</v>
      </c>
      <c r="B2828" s="1" t="str">
        <f ca="1">IFERROR(__xludf.DUMFUNCTION("GOOGLETRANSLATE(A2899,""id"",""en"")")," Jalan Jalan Testing Salur BBM Subsidy Salang Salar Application  Basic Regulation Set President No. Amp Letter Breaking BPH Migas No")</f>
        <v xml:space="preserve"> Jalan Jalan Testing Salur BBM Subsidy Salang Salar Application  Basic Regulation Set President No. Amp Letter Breaking BPH Migas No</v>
      </c>
    </row>
    <row r="2829" spans="1:2" x14ac:dyDescent="0.2">
      <c r="A2829" s="1" t="s">
        <v>4633</v>
      </c>
      <c r="B2829" s="1" t="str">
        <f ca="1">IFERROR(__xludf.DUMFUNCTION("GOOGLETRANSLATE(A2900,""id"",""en"")"),"Buy Pertalite Solar Using the  Application Oiya Forgot to Buy Migor Using the Pedulilat Protect Pertalite Solar Bbm  Infographic Infographic Tangerang")</f>
        <v>Buy Pertalite Solar Using the  Application Oiya Forgot to Buy Migor Using the Pedulilat Protect Pertalite Solar Bbm  Infographic Infographic Tangerang</v>
      </c>
    </row>
    <row r="2830" spans="1:2" x14ac:dyDescent="0.2">
      <c r="A2830" s="1" t="s">
        <v>4634</v>
      </c>
      <c r="B2830" s="1" t="str">
        <f ca="1">IFERROR(__xludf.DUMFUNCTION("GOOGLETRANSLATE(A2901,""id"",""en"")"),"ga  applications, yes, consumers of  application list websites list print verification qr code can be application transactions")</f>
        <v>ga  applications, yes, consumers of  application list websites list print verification qr code can be application transactions</v>
      </c>
    </row>
    <row r="2831" spans="1:2" x14ac:dyDescent="0.2">
      <c r="A2831" s="1" t="s">
        <v>4635</v>
      </c>
      <c r="B2831" s="1" t="str">
        <f ca="1">IFERROR(__xludf.DUMFUNCTION("GOOGLETRANSLATE(A2902,""id"",""en"")"),"Test for buying fuel for  subsidies")</f>
        <v>Test for buying fuel for  subsidies</v>
      </c>
    </row>
    <row r="2832" spans="1:2" x14ac:dyDescent="0.2">
      <c r="A2832" s="1" t="s">
        <v>4636</v>
      </c>
      <c r="B2832" s="1" t="str">
        <f ca="1">IFERROR(__xludf.DUMFUNCTION("GOOGLETRANSLATE(A2903,""id"",""en"")"),"tomorrow list of  fuel subsidies read complete")</f>
        <v>tomorrow list of  fuel subsidies read complete</v>
      </c>
    </row>
    <row r="2833" spans="1:2" x14ac:dyDescent="0.2">
      <c r="A2833" s="1" t="s">
        <v>4637</v>
      </c>
      <c r="B2833" s="1" t="str">
        <f ca="1">IFERROR(__xludf.DUMFUNCTION("GOOGLETRANSLATE(A2904,""id"",""en"")"),"Install Apk  Free Want to Pay Install Apk Paytren")</f>
        <v>Install Apk  Free Want to Pay Install Apk Paytren</v>
      </c>
    </row>
    <row r="2834" spans="1:2" x14ac:dyDescent="0.2">
      <c r="A2834" s="1" t="s">
        <v>159</v>
      </c>
      <c r="B2834" s="1" t="str">
        <f ca="1">IFERROR(__xludf.DUMFUNCTION("GOOGLETRANSLATE(A2905,""id"",""en"")"),"Nyinyir for a while the application makes it complicated to buy gas kg")</f>
        <v>Nyinyir for a while the application makes it complicated to buy gas kg</v>
      </c>
    </row>
    <row r="2835" spans="1:2" x14ac:dyDescent="0.2">
      <c r="A2835" s="1" t="s">
        <v>4638</v>
      </c>
      <c r="B2835" s="1" t="str">
        <f ca="1">IFERROR(__xludf.DUMFUNCTION("GOOGLETRANSLATE(A2906,""id"",""en"")"),"really aimed at supporting the subsidized fuel that is the right to  applications  as a condition for buying a solar pertalite")</f>
        <v>really aimed at supporting the subsidized fuel that is the right to  applications  as a condition for buying a solar pertalite</v>
      </c>
    </row>
    <row r="2836" spans="1:2" x14ac:dyDescent="0.2">
      <c r="A2836" s="1" t="s">
        <v>3966</v>
      </c>
      <c r="B2836" s="1" t="str">
        <f ca="1">IFERROR(__xludf.DUMFUNCTION("GOOGLETRANSLATE(A2907,""id"",""en"")"),"buy subsidized fuel using  rudi hartono difficult people")</f>
        <v>buy subsidized fuel using  rudi hartono difficult people</v>
      </c>
    </row>
    <row r="2837" spans="1:2" x14ac:dyDescent="0.2">
      <c r="A2837" s="1" t="s">
        <v>4639</v>
      </c>
      <c r="B2837" s="1" t="str">
        <f ca="1">IFERROR(__xludf.DUMFUNCTION("GOOGLETRANSLATE(A2908,""id"",""en"")"),"behind the people who are forced to buy Pertamax non -subsidized using the  application event as a subsidy requirement to close the rich person in investors to pay the tax is low")</f>
        <v>behind the people who are forced to buy Pertamax non -subsidized using the  application event as a subsidy requirement to close the rich person in investors to pay the tax is low</v>
      </c>
    </row>
    <row r="2838" spans="1:2" x14ac:dyDescent="0.2">
      <c r="A2838" s="1" t="s">
        <v>4640</v>
      </c>
      <c r="B2838" s="1" t="str">
        <f ca="1">IFERROR(__xludf.DUMFUNCTION("GOOGLETRANSLATE(A2909,""id"",""en"")"),"wahh sophisticated nihhh as a commitment to  Salur BBM Subsidy Sasar then   Test Serving Buy Pertalite Solar to Register")</f>
        <v>wahh sophisticated nihhh as a commitment to  Salur BBM Subsidy Sasar then   Test Serving Buy Pertalite Solar to Register</v>
      </c>
    </row>
    <row r="2839" spans="1:2" x14ac:dyDescent="0.2">
      <c r="A2839" s="1" t="s">
        <v>4641</v>
      </c>
      <c r="B2839" s="1" t="str">
        <f ca="1">IFERROR(__xludf.DUMFUNCTION("GOOGLETRANSLATE(A2910,""id"",""en"")"),"Buy Pertalite Solar Setting the public to buy fuel subsidies must be list of  July sources of infopku bbmsubsidi ")</f>
        <v xml:space="preserve">Buy Pertalite Solar Setting the public to buy fuel subsidies must be list of  July sources of infopku bbmsubsidi </v>
      </c>
    </row>
    <row r="2840" spans="1:2" x14ac:dyDescent="0.2">
      <c r="A2840" s="1" t="s">
        <v>4642</v>
      </c>
      <c r="B2840" s="1" t="str">
        <f ca="1">IFERROR(__xludf.DUMFUNCTION("GOOGLETRANSLATE(A2911,""id"",""en"")"),"Use  physical money does not sell via links for the distribution of gas station fuel if lpg buy spbg consumers lpg buying shop dal shop ruwet peaceful rusia ukraine image of wasteful fencing")</f>
        <v>Use  physical money does not sell via links for the distribution of gas station fuel if lpg buy spbg consumers lpg buying shop dal shop ruwet peaceful rusia ukraine image of wasteful fencing</v>
      </c>
    </row>
    <row r="2841" spans="1:2" x14ac:dyDescent="0.2">
      <c r="A2841" s="1" t="s">
        <v>4643</v>
      </c>
      <c r="B2841" s="1" t="str">
        <f ca="1">IFERROR(__xludf.DUMFUNCTION("GOOGLETRANSLATE(A2912,""id"",""en"")"),"Point QR Code Buy Pertalite Solar Mandatory Use the  SPBU application")</f>
        <v>Point QR Code Buy Pertalite Solar Mandatory Use the  SPBU application</v>
      </c>
    </row>
    <row r="2842" spans="1:2" x14ac:dyDescent="0.2">
      <c r="A2842" s="1" t="s">
        <v>4644</v>
      </c>
      <c r="B2842" s="1" t="str">
        <f ca="1">IFERROR(__xludf.DUMFUNCTION("GOOGLETRANSLATE(A2913,""id"",""en"")"),"Sukabumi City Angkot Driver Buying Pertalite Must Use ")</f>
        <v xml:space="preserve">Sukabumi City Angkot Driver Buying Pertalite Must Use </v>
      </c>
    </row>
    <row r="2843" spans="1:2" x14ac:dyDescent="0.2">
      <c r="A2843" s="1" t="s">
        <v>4645</v>
      </c>
      <c r="B2843" s="1" t="str">
        <f ca="1">IFERROR(__xludf.DUMFUNCTION("GOOGLETRANSLATE(A2914,""id"",""en"")")," SPBU MLEDUQ BOOK BUY PERTALITE TERMS OF CONDITIONS")</f>
        <v xml:space="preserve"> SPBU MLEDUQ BOOK BUY PERTALITE TERMS OF CONDITIONS</v>
      </c>
    </row>
    <row r="2844" spans="1:2" x14ac:dyDescent="0.2">
      <c r="A2844" s="1" t="s">
        <v>4646</v>
      </c>
      <c r="B2844" s="1" t="str">
        <f ca="1">IFERROR(__xludf.DUMFUNCTION("GOOGLETRANSLATE(A2915,""id"",""en"")"),"July West Sumatra is required to use  to buy subsidized fuel via Infosumbar  BBM subsidized")</f>
        <v>July West Sumatra is required to use  to buy subsidized fuel via Infosumbar  BBM subsidized</v>
      </c>
    </row>
    <row r="2845" spans="1:2" x14ac:dyDescent="0.2">
      <c r="A2845" s="1" t="s">
        <v>160</v>
      </c>
      <c r="B2845" s="1" t="str">
        <f ca="1">IFERROR(__xludf.DUMFUNCTION("GOOGLETRANSLATE(A2916,""id"",""en"")"),"It's not complicated")</f>
        <v>It's not complicated</v>
      </c>
    </row>
    <row r="2846" spans="1:2" x14ac:dyDescent="0.2">
      <c r="A2846" s="1" t="s">
        <v>4647</v>
      </c>
      <c r="B2846" s="1" t="str">
        <f ca="1">IFERROR(__xludf.DUMFUNCTION("GOOGLETRANSLATE(A2917,""id"",""en"")"),"Already the Electric Kendara era noisy ")</f>
        <v xml:space="preserve">Already the Electric Kendara era noisy </v>
      </c>
    </row>
    <row r="2847" spans="1:2" x14ac:dyDescent="0.2">
      <c r="A2847" s="1" t="s">
        <v>161</v>
      </c>
      <c r="B2847" s="1" t="str">
        <f ca="1">IFERROR(__xludf.DUMFUNCTION("GOOGLETRANSLATE(A2918,""id"",""en"")"),"Eh Gada quota contents Pertamax")</f>
        <v>Eh Gada quota contents Pertamax</v>
      </c>
    </row>
    <row r="2848" spans="1:2" x14ac:dyDescent="0.2">
      <c r="A2848" s="1" t="s">
        <v>4648</v>
      </c>
      <c r="B2848" s="1" t="str">
        <f ca="1">IFERROR(__xludf.DUMFUNCTION("GOOGLETRANSLATE(A2919,""id"",""en"")"),"News Juli Juli Buy Pertalite Solar Mandatory to Use  BelisolarPowal PliPilkasi Peltaltaltalthawar Apilasi")</f>
        <v>News Juli Juli Buy Pertalite Solar Mandatory to Use  BelisolarPowal PliPilkasi Peltaltaltalthawar Apilasi</v>
      </c>
    </row>
    <row r="2849" spans="1:2" x14ac:dyDescent="0.2">
      <c r="A2849" s="1" t="s">
        <v>4649</v>
      </c>
      <c r="B2849" s="1" t="str">
        <f ca="1">IFERROR(__xludf.DUMFUNCTION("GOOGLETRANSLATE(A2920,""id"",""en"")"),"Go to the contents of the Pertalite list of  to avoid abuse")</f>
        <v>Go to the contents of the Pertalite list of  to avoid abuse</v>
      </c>
    </row>
    <row r="2850" spans="1:2" x14ac:dyDescent="0.2">
      <c r="A2850" s="1" t="s">
        <v>4650</v>
      </c>
      <c r="B2850" s="1" t="str">
        <f ca="1">IFERROR(__xludf.DUMFUNCTION("GOOGLETRANSLATE(A2921,""id"",""en"")"),"Buy Pertalite Using  Buy Migor Using Caring for Protection Discriminative Potential is complete wise completely")</f>
        <v>Buy Pertalite Using  Buy Migor Using Caring for Protection Discriminative Potential is complete wise completely</v>
      </c>
    </row>
    <row r="2851" spans="1:2" x14ac:dyDescent="0.2">
      <c r="A2851" s="1" t="s">
        <v>4651</v>
      </c>
      <c r="B2851" s="1" t="str">
        <f ca="1">IFERROR(__xludf.DUMFUNCTION("GOOGLETRANSLATE(A2922,""id"",""en"")"),"The screen attendance of  Initiation of BBM Subsidies Sasar Support")</f>
        <v>The screen attendance of  Initiation of BBM Subsidies Sasar Support</v>
      </c>
    </row>
    <row r="2852" spans="1:2" x14ac:dyDescent="0.2">
      <c r="A2852" s="1" t="s">
        <v>4652</v>
      </c>
      <c r="B2852" s="1" t="str">
        <f ca="1">IFERROR(__xludf.DUMFUNCTION("GOOGLETRANSLATE(A2924,""id"",""en"")"),"it's hard to plan to buy pertalite amp gas kg via ")</f>
        <v xml:space="preserve">it's hard to plan to buy pertalite amp gas kg via </v>
      </c>
    </row>
    <row r="2853" spans="1:2" x14ac:dyDescent="0.2">
      <c r="A2853" s="1" t="s">
        <v>4653</v>
      </c>
      <c r="B2853" s="1" t="str">
        <f ca="1">IFERROR(__xludf.DUMFUNCTION("GOOGLETRANSLATE(A2925,""id"",""en"")"),"the public is obliged to register  to buy BBM, fortunately the  application pays efficiency Cashless non cash")</f>
        <v>the public is obliged to register  to buy BBM, fortunately the  application pays efficiency Cashless non cash</v>
      </c>
    </row>
    <row r="2854" spans="1:2" x14ac:dyDescent="0.2">
      <c r="A2854" s="1" t="s">
        <v>4654</v>
      </c>
      <c r="B2854" s="1" t="str">
        <f ca="1">IFERROR(__xludf.DUMFUNCTION("GOOGLETRANSLATE(A2926,""id"",""en"")")," is mistake big mistake I stress grandparents, just two of me, then tiring is confused about filling up gasoline.")</f>
        <v xml:space="preserve"> is mistake big mistake I stress grandparents, just two of me, then tiring is confused about filling up gasoline.</v>
      </c>
    </row>
    <row r="2855" spans="1:2" x14ac:dyDescent="0.2">
      <c r="A2855" s="1" t="s">
        <v>4655</v>
      </c>
      <c r="B2855" s="1" t="str">
        <f ca="1">IFERROR(__xludf.DUMFUNCTION("GOOGLETRANSLATE(A2927,""id"",""en"")"),"KNP Facts Buy BBM must use  list open on July, list the limits of being smart to read information")</f>
        <v>KNP Facts Buy BBM must use  list open on July, list the limits of being smart to read information</v>
      </c>
    </row>
    <row r="2856" spans="1:2" x14ac:dyDescent="0.2">
      <c r="A2856" s="1" t="s">
        <v>8</v>
      </c>
      <c r="B2856" s="1" t="str">
        <f ca="1">IFERROR(__xludf.DUMFUNCTION("GOOGLETRANSLATE(A2928,""id"",""en"")"),"pink one who replied")</f>
        <v>pink one who replied</v>
      </c>
    </row>
    <row r="2857" spans="1:2" x14ac:dyDescent="0.2">
      <c r="A2857" s="1" t="s">
        <v>4656</v>
      </c>
      <c r="B2857" s="1" t="str">
        <f ca="1">IFERROR(__xludf.DUMFUNCTION("GOOGLETRANSLATE(A2929,""id"",""en"")"),"Netizen Kecam Set Buying Melon Gas Using the  Ptamina Application PT  Persero PT  Patra Niaga General Plan for the application of  News Gasmelon Gasmelon Kg Gasmelon ")</f>
        <v xml:space="preserve">Netizen Kecam Set Buying Melon Gas Using the  Ptamina Application PT  Persero PT  Patra Niaga General Plan for the application of  News Gasmelon Gasmelon Kg Gasmelon </v>
      </c>
    </row>
    <row r="2858" spans="1:2" x14ac:dyDescent="0.2">
      <c r="A2858" s="1" t="s">
        <v>4657</v>
      </c>
      <c r="B2858" s="1" t="str">
        <f ca="1">IFERROR(__xludf.DUMFUNCTION("GOOGLETRANSLATE(A2930,""id"",""en"")"),"Increased using a debit card, the contents of the link, the cost is not fun, ")</f>
        <v xml:space="preserve">Increased using a debit card, the contents of the link, the cost is not fun, </v>
      </c>
    </row>
    <row r="2859" spans="1:2" x14ac:dyDescent="0.2">
      <c r="A2859" s="1" t="s">
        <v>4658</v>
      </c>
      <c r="B2859" s="1" t="str">
        <f ca="1">IFERROR(__xludf.DUMFUNCTION("GOOGLETRANSLATE(A2931,""id"",""en"")"),"West Sumatra SPBU Helps  ACTIVATION SUPPORT")</f>
        <v>West Sumatra SPBU Helps  ACTIVATION SUPPORT</v>
      </c>
    </row>
    <row r="2860" spans="1:2" x14ac:dyDescent="0.2">
      <c r="A2860" s="1" t="s">
        <v>4659</v>
      </c>
      <c r="B2860" s="1" t="str">
        <f ca="1">IFERROR(__xludf.DUMFUNCTION("GOOGLETRANSLATE(A2932,""id"",""en"")"),"If you use Pertamax, I have to download ")</f>
        <v xml:space="preserve">If you use Pertamax, I have to download </v>
      </c>
    </row>
    <row r="2861" spans="1:2" x14ac:dyDescent="0.2">
      <c r="A2861" s="1" t="s">
        <v>4660</v>
      </c>
      <c r="B2861" s="1" t="str">
        <f ca="1">IFERROR(__xludf.DUMFUNCTION("GOOGLETRANSLATE(A2933,""id"",""en"")"),"Gaes gaes, you know, it's definitely profitable for  applications to monitor distribution evaluations for BBM subsidized  applications yok ahh using the  gaess application don't stay")</f>
        <v>Gaes gaes, you know, it's definitely profitable for  applications to monitor distribution evaluations for BBM subsidized  applications yok ahh using the  gaess application don't stay</v>
      </c>
    </row>
    <row r="2862" spans="1:2" x14ac:dyDescent="0.2">
      <c r="A2862" s="1" t="s">
        <v>4661</v>
      </c>
      <c r="B2862" s="1" t="str">
        <f ca="1">IFERROR(__xludf.DUMFUNCTION("GOOGLETRANSLATE(A2934,""id"",""en"")")," ")</f>
        <v xml:space="preserve"> </v>
      </c>
    </row>
    <row r="2863" spans="1:2" x14ac:dyDescent="0.2">
      <c r="A2863" s="1" t="s">
        <v>4662</v>
      </c>
      <c r="B2863" s="1" t="str">
        <f ca="1">IFERROR(__xludf.DUMFUNCTION("GOOGLETRANSLATE(A2935,""id"",""en"")"),"List of Print Qr Code Print Websites BTW Campaign Falling Rating  Play Store Kabar")</f>
        <v>List of Print Qr Code Print Websites BTW Campaign Falling Rating  Play Store Kabar</v>
      </c>
    </row>
    <row r="2864" spans="1:2" x14ac:dyDescent="0.2">
      <c r="A2864" s="1" t="s">
        <v>4663</v>
      </c>
      <c r="B2864" s="1" t="str">
        <f ca="1">IFERROR(__xludf.DUMFUNCTION("GOOGLETRANSLATE(A2936,""id"",""en"")"),"Belu Pertalite Solar must list the  WEBSITE Jalan Amanah, the answer must be proud of its efforts")</f>
        <v>Belu Pertalite Solar must list the  WEBSITE Jalan Amanah, the answer must be proud of its efforts</v>
      </c>
    </row>
    <row r="2865" spans="1:2" x14ac:dyDescent="0.2">
      <c r="A2865" s="1" t="s">
        <v>4664</v>
      </c>
      <c r="B2865" s="1" t="str">
        <f ca="1">IFERROR(__xludf.DUMFUNCTION("GOOGLETRANSLATE(A2937,""id"",""en"")")," Dang Guna  BBM Subsidy Salang Society who is the right to fuel subsidized fuel")</f>
        <v xml:space="preserve"> Dang Guna  BBM Subsidy Salang Society who is the right to fuel subsidized fuel</v>
      </c>
    </row>
    <row r="2866" spans="1:2" x14ac:dyDescent="0.2">
      <c r="A2866" s="1" t="s">
        <v>4644</v>
      </c>
      <c r="B2866" s="1" t="str">
        <f ca="1">IFERROR(__xludf.DUMFUNCTION("GOOGLETRANSLATE(A2938,""id"",""en"")"),"Sukabumi City Angkot Driver Buying Pertalite Must Use ")</f>
        <v xml:space="preserve">Sukabumi City Angkot Driver Buying Pertalite Must Use </v>
      </c>
    </row>
    <row r="2867" spans="1:2" x14ac:dyDescent="0.2">
      <c r="A2867" s="1" t="s">
        <v>4665</v>
      </c>
      <c r="B2867" s="1" t="str">
        <f ca="1">IFERROR(__xludf.DUMFUNCTION("GOOGLETRANSLATE(A2939,""id"",""en"")"),"Naturally, if the socialization is for the application of , the constraints of consumers are not gadgets, so consumers who are tattooing must be calm, don't worry about checking it out, supporting the subsidized fuel.")</f>
        <v>Naturally, if the socialization is for the application of , the constraints of consumers are not gadgets, so consumers who are tattooing must be calm, don't worry about checking it out, supporting the subsidized fuel.</v>
      </c>
    </row>
    <row r="2868" spans="1:2" x14ac:dyDescent="0.2">
      <c r="A2868" s="1" t="s">
        <v>4666</v>
      </c>
      <c r="B2868" s="1" t="str">
        <f ca="1">IFERROR(__xludf.DUMFUNCTION("GOOGLETRANSLATE(A2940,""id"",""en"")"),"Install  undi Umrah prizes but can't get")</f>
        <v>Install  undi Umrah prizes but can't get</v>
      </c>
    </row>
    <row r="2869" spans="1:2" x14ac:dyDescent="0.2">
      <c r="A2869" s="1" t="s">
        <v>4667</v>
      </c>
      <c r="B2869" s="1" t="str">
        <f ca="1">IFERROR(__xludf.DUMFUNCTION("GOOGLETRANSLATE(A2941,""id"",""en"")"),"wrong more  who calculates months using rupiah liter fuel is easy to fatch")</f>
        <v>wrong more  who calculates months using rupiah liter fuel is easy to fatch</v>
      </c>
    </row>
    <row r="2870" spans="1:2" x14ac:dyDescent="0.2">
      <c r="A2870" s="1" t="s">
        <v>4668</v>
      </c>
      <c r="B2870" s="1" t="str">
        <f ca="1">IFERROR(__xludf.DUMFUNCTION("GOOGLETRANSLATE(A2942,""id"",""en"")"),"be wise intention to be responsible for fuel subdivisions in the sarapan of ideas, yes, already brilliant the  application, Fact Data, let's see, let's see")</f>
        <v>be wise intention to be responsible for fuel subdivisions in the sarapan of ideas, yes, already brilliant the  application, Fact Data, let's see, let's see</v>
      </c>
    </row>
    <row r="2871" spans="1:2" x14ac:dyDescent="0.2">
      <c r="A2871" s="1" t="s">
        <v>4669</v>
      </c>
      <c r="B2871" s="1" t="str">
        <f ca="1">IFERROR(__xludf.DUMFUNCTION("GOOGLETRANSLATE(A2943,""id"",""en"")")," let the application sell")</f>
        <v xml:space="preserve"> let the application sell</v>
      </c>
    </row>
    <row r="2872" spans="1:2" x14ac:dyDescent="0.2">
      <c r="A2872" s="1" t="s">
        <v>4670</v>
      </c>
      <c r="B2872" s="1" t="str">
        <f ca="1">IFERROR(__xludf.DUMFUNCTION("GOOGLETRANSLATE(A2944,""id"",""en"")"),"calm down  gaptek available outlets of public gas stations owned by the  application erti list websites")</f>
        <v>calm down  gaptek available outlets of public gas stations owned by the  application erti list websites</v>
      </c>
    </row>
    <row r="2873" spans="1:2" x14ac:dyDescent="0.2">
      <c r="A2873" s="1" t="s">
        <v>4635</v>
      </c>
      <c r="B2873" s="1" t="str">
        <f ca="1">IFERROR(__xludf.DUMFUNCTION("GOOGLETRANSLATE(A2945,""id"",""en"")"),"Test for buying fuel for  subsidies")</f>
        <v>Test for buying fuel for  subsidies</v>
      </c>
    </row>
    <row r="2874" spans="1:2" x14ac:dyDescent="0.2">
      <c r="A2874" s="1" t="s">
        <v>3725</v>
      </c>
      <c r="B2874" s="1" t="str">
        <f ca="1">IFERROR(__xludf.DUMFUNCTION("GOOGLETRANSLATE(A2946,""id"",""en"")"),"Buy LPG Kg Gas Using the  Application")</f>
        <v>Buy LPG Kg Gas Using the  Application</v>
      </c>
    </row>
    <row r="2875" spans="1:2" x14ac:dyDescent="0.2">
      <c r="A2875" s="1" t="s">
        <v>4671</v>
      </c>
      <c r="B2875" s="1" t="str">
        <f ca="1">IFERROR(__xludf.DUMFUNCTION("GOOGLETRANSLATE(A2947,""id"",""en"")"),"Angkot Driver Riber Heavy Buying Solar Pertalite Using ")</f>
        <v xml:space="preserve">Angkot Driver Riber Heavy Buying Solar Pertalite Using </v>
      </c>
    </row>
    <row r="2876" spans="1:2" x14ac:dyDescent="0.2">
      <c r="A2876" s="1" t="s">
        <v>4672</v>
      </c>
      <c r="B2876" s="1" t="str">
        <f ca="1">IFERROR(__xludf.DUMFUNCTION("GOOGLETRANSLATE(A2948,""id"",""en"")"),"anyway, if you use , the trial that  is salted fuel subsidized community who is acceptable")</f>
        <v>anyway, if you use , the trial that  is salted fuel subsidized community who is acceptable</v>
      </c>
    </row>
    <row r="2877" spans="1:2" x14ac:dyDescent="0.2">
      <c r="A2877" s="1" t="s">
        <v>4673</v>
      </c>
      <c r="B2877" s="1" t="str">
        <f ca="1">IFERROR(__xludf.DUMFUNCTION("GOOGLETRANSLATE(A2950,""id"",""en"")"),"Reting birds ps tikedown ps  doesn't download")</f>
        <v>Reting birds ps tikedown ps  doesn't download</v>
      </c>
    </row>
    <row r="2878" spans="1:2" x14ac:dyDescent="0.2">
      <c r="A2878" s="1" t="s">
        <v>4674</v>
      </c>
      <c r="B2878" s="1" t="str">
        <f ca="1">IFERROR(__xludf.DUMFUNCTION("GOOGLETRANSLATE(A2951,""id"",""en"")"),"Deleting apk ig twit so that down apk caring for  protected etc. buying cooking oil LPG Pertalite thinks the potatoes are full")</f>
        <v>Deleting apk ig twit so that down apk caring for  protected etc. buying cooking oil LPG Pertalite thinks the potatoes are full</v>
      </c>
    </row>
    <row r="2879" spans="1:2" x14ac:dyDescent="0.2">
      <c r="A2879" s="1" t="s">
        <v>4675</v>
      </c>
      <c r="B2879" s="1" t="str">
        <f ca="1">IFERROR(__xludf.DUMFUNCTION("GOOGLETRANSLATE(A2952,""id"",""en"")"),"wise regime is difficult for the people to make a living fortune to be careful of wise orders.")</f>
        <v>wise regime is difficult for the people to make a living fortune to be careful of wise orders.</v>
      </c>
    </row>
    <row r="2880" spans="1:2" x14ac:dyDescent="0.2">
      <c r="A2880" s="1" t="s">
        <v>4676</v>
      </c>
      <c r="B2880" s="1" t="str">
        <f ca="1">IFERROR(__xludf.DUMFUNCTION("GOOGLETRANSLATE(A2953,""id"",""en"")"),"Enter  Install Entering Review")</f>
        <v>Enter  Install Entering Review</v>
      </c>
    </row>
    <row r="2881" spans="1:2" x14ac:dyDescent="0.2">
      <c r="A2881" s="1" t="s">
        <v>4677</v>
      </c>
      <c r="B2881" s="1" t="str">
        <f ca="1">IFERROR(__xludf.DUMFUNCTION("GOOGLETRANSLATE(A2954,""id"",""en"")"),"woiii know the gas station is not the location of the internet that doesn't access the internet, how to access  to buy oil to buy oil, the quota is deliberate")</f>
        <v>woiii know the gas station is not the location of the internet that doesn't access the internet, how to access  to buy oil to buy oil, the quota is deliberate</v>
      </c>
    </row>
    <row r="2882" spans="1:2" x14ac:dyDescent="0.2">
      <c r="A2882" s="1" t="s">
        <v>4678</v>
      </c>
      <c r="B2882" s="1" t="str">
        <f ca="1">IFERROR(__xludf.DUMFUNCTION("GOOGLETRANSLATE(A2955,""id"",""en"")"),"Women's Pants Motif Box Price RB for Formal Non -formal Formal Amps Comfortable to Power Morning Cold Impi's  MORNINGG")</f>
        <v>Women's Pants Motif Box Price RB for Formal Non -formal Formal Amps Comfortable to Power Morning Cold Impi's  MORNINGG</v>
      </c>
    </row>
    <row r="2883" spans="1:2" x14ac:dyDescent="0.2">
      <c r="A2883" s="1" t="s">
        <v>4675</v>
      </c>
      <c r="B2883" s="1" t="str">
        <f ca="1">IFERROR(__xludf.DUMFUNCTION("GOOGLETRANSLATE(A2956,""id"",""en"")"),"wise regime is difficult for the people to make a living fortune to be careful of wise orders.")</f>
        <v>wise regime is difficult for the people to make a living fortune to be careful of wise orders.</v>
      </c>
    </row>
    <row r="2884" spans="1:2" x14ac:dyDescent="0.2">
      <c r="A2884" s="1" t="s">
        <v>4679</v>
      </c>
      <c r="B2884" s="1" t="str">
        <f ca="1">IFERROR(__xludf.DUMFUNCTION("GOOGLETRANSLATE(A2957,""id"",""en"")"),"blh insttal in pack  nyh")</f>
        <v>blh insttal in pack  nyh</v>
      </c>
    </row>
    <row r="2885" spans="1:2" x14ac:dyDescent="0.2">
      <c r="A2885" s="1" t="s">
        <v>4680</v>
      </c>
      <c r="B2885" s="1" t="str">
        <f ca="1">IFERROR(__xludf.DUMFUNCTION("GOOGLETRANSLATE(A2958,""id"",""en"")"),"List of  Download Tempootomotive Application")</f>
        <v>List of  Download Tempootomotive Application</v>
      </c>
    </row>
    <row r="2886" spans="1:2" x14ac:dyDescent="0.2">
      <c r="A2886" s="1" t="s">
        <v>4681</v>
      </c>
      <c r="B2886" s="1" t="str">
        <f ca="1">IFERROR(__xludf.DUMFUNCTION("GOOGLETRANSLATE(A2959,""id"",""en"")"),"wahhh kerenn for protecting people who are delicious fuel subsidies if pke  lasts by earning points")</f>
        <v>wahhh kerenn for protecting people who are delicious fuel subsidies if pke  lasts by earning points</v>
      </c>
    </row>
    <row r="2887" spans="1:2" x14ac:dyDescent="0.2">
      <c r="A2887" s="1" t="s">
        <v>4682</v>
      </c>
      <c r="B2887" s="1" t="str">
        <f ca="1">IFERROR(__xludf.DUMFUNCTION("GOOGLETRANSLATE(A2960,""id"",""en"")"),"POINTS BUY BBM Exchange Type Rewards of profit by the  application that is efficiently non -cash")</f>
        <v>POINTS BUY BBM Exchange Type Rewards of profit by the  application that is efficiently non -cash</v>
      </c>
    </row>
    <row r="2888" spans="1:2" x14ac:dyDescent="0.2">
      <c r="A2888" s="1" t="s">
        <v>4683</v>
      </c>
      <c r="B2888" s="1" t="str">
        <f ca="1">IFERROR(__xludf.DUMFUNCTION("GOOGLETRANSLATE(A2961,""id"",""en"")"),"Easy to register a  account buy fuel subsidies pertalite solar")</f>
        <v>Easy to register a  account buy fuel subsidies pertalite solar</v>
      </c>
    </row>
    <row r="2889" spans="1:2" x14ac:dyDescent="0.2">
      <c r="A2889" s="1" t="s">
        <v>162</v>
      </c>
      <c r="B2889" s="1" t="str">
        <f ca="1">IFERROR(__xludf.DUMFUNCTION("GOOGLETRANSLATE(A2962,""id"",""en"")"),"order strict plan to buy fuel subsidized type of Pertalite Solar Kendara Car Roda")</f>
        <v>order strict plan to buy fuel subsidized type of Pertalite Solar Kendara Car Roda</v>
      </c>
    </row>
    <row r="2890" spans="1:2" x14ac:dyDescent="0.2">
      <c r="A2890" s="1" t="s">
        <v>4684</v>
      </c>
      <c r="B2890" s="1" t="str">
        <f ca="1">IFERROR(__xludf.DUMFUNCTION("GOOGLETRANSLATE(A2963,""id"",""en"")"),"permission yes, mas must use the  application")</f>
        <v>permission yes, mas must use the  application</v>
      </c>
    </row>
    <row r="2891" spans="1:2" x14ac:dyDescent="0.2">
      <c r="A2891" s="1" t="s">
        <v>4685</v>
      </c>
      <c r="B2891" s="1" t="str">
        <f ca="1">IFERROR(__xludf.DUMFUNCTION("GOOGLETRANSLATE(A2964,""id"",""en"")"),"Buy Pertalite Using the  Taut Linkaja Application Transaction does not directly use Linkaja using  if it's not complicated, Indonesia SIK")</f>
        <v>Buy Pertalite Using the  Taut Linkaja Application Transaction does not directly use Linkaja using  if it's not complicated, Indonesia SIK</v>
      </c>
    </row>
    <row r="2892" spans="1:2" x14ac:dyDescent="0.2">
      <c r="A2892" s="1" t="s">
        <v>2523</v>
      </c>
      <c r="B2892" s="1" t="str">
        <f ca="1">IFERROR(__xludf.DUMFUNCTION("GOOGLETRANSLATE(A2965,""id"",""en"")"),"Pertalite Buy LPG Kilogram Using the  Application")</f>
        <v>Pertalite Buy LPG Kilogram Using the  Application</v>
      </c>
    </row>
    <row r="2893" spans="1:2" x14ac:dyDescent="0.2">
      <c r="A2893" s="1" t="s">
        <v>4686</v>
      </c>
      <c r="B2893" s="1" t="str">
        <f ca="1">IFERROR(__xludf.DUMFUNCTION("GOOGLETRANSLATE(A2966,""id"",""en"")"),"so tomorrow must install  so much, the memory is full of memory")</f>
        <v>so tomorrow must install  so much, the memory is full of memory</v>
      </c>
    </row>
    <row r="2894" spans="1:2" x14ac:dyDescent="0.2">
      <c r="A2894" s="1" t="s">
        <v>4687</v>
      </c>
      <c r="B2894" s="1" t="str">
        <f ca="1">IFERROR(__xludf.DUMFUNCTION("GOOGLETRANSLATE(A2967,""id"",""en"")")," application comes the form of loyal appreciation for 's profit using the  Cashless application to get redeem points not complicated rewards of stable points")</f>
        <v xml:space="preserve"> application comes the form of loyal appreciation for 's profit using the  Cashless application to get redeem points not complicated rewards of stable points</v>
      </c>
    </row>
    <row r="2895" spans="1:2" x14ac:dyDescent="0.2">
      <c r="A2895" s="1" t="s">
        <v>4688</v>
      </c>
      <c r="B2895" s="1" t="str">
        <f ca="1">IFERROR(__xludf.DUMFUNCTION("GOOGLETRANSLATE(A2968,""id"",""en"")"),"the vehicle registration is dead tax already using , you don't fill in the tax")</f>
        <v>the vehicle registration is dead tax already using , you don't fill in the tax</v>
      </c>
    </row>
    <row r="2896" spans="1:2" x14ac:dyDescent="0.2">
      <c r="A2896" s="1" t="s">
        <v>4689</v>
      </c>
      <c r="B2896" s="1" t="str">
        <f ca="1">IFERROR(__xludf.DUMFUNCTION("GOOGLETRANSLATE(A2969,""id"",""en"")"),"Salur Type of BBM Subsidy  Sasar Application  as a condition for buying a solar pertalite to see clearly yes Bestie")</f>
        <v>Salur Type of BBM Subsidy  Sasar Application  as a condition for buying a solar pertalite to see clearly yes Bestie</v>
      </c>
    </row>
    <row r="2897" spans="1:2" x14ac:dyDescent="0.2">
      <c r="A2897" s="1" t="s">
        <v>2637</v>
      </c>
      <c r="B2897" s="1" t="str">
        <f ca="1">IFERROR(__xludf.DUMFUNCTION("GOOGLETRANSLATE(A2970,""id"",""en"")"),"poor people buy lpg kg using very ")</f>
        <v xml:space="preserve">poor people buy lpg kg using very </v>
      </c>
    </row>
    <row r="2898" spans="1:2" x14ac:dyDescent="0.2">
      <c r="A2898" s="1" t="s">
        <v>4690</v>
      </c>
      <c r="B2898" s="1" t="str">
        <f ca="1">IFERROR(__xludf.DUMFUNCTION("GOOGLETRANSLATE(A2971,""id"",""en"")"),"know the quality of 's jabat yuu ahh crowded with the star of  application beating the netizens rating plummeted")</f>
        <v>know the quality of 's jabat yuu ahh crowded with the star of  application beating the netizens rating plummeted</v>
      </c>
    </row>
    <row r="2899" spans="1:2" x14ac:dyDescent="0.2">
      <c r="A2899" s="1" t="s">
        <v>4691</v>
      </c>
      <c r="B2899" s="1" t="str">
        <f ca="1">IFERROR(__xludf.DUMFUNCTION("GOOGLETRANSLATE(A2972,""id"",""en"")"),"Read the news that uses a special  app, but it's not a front")</f>
        <v>Read the news that uses a special  app, but it's not a front</v>
      </c>
    </row>
    <row r="2900" spans="1:2" x14ac:dyDescent="0.2">
      <c r="A2900" s="1" t="s">
        <v>4653</v>
      </c>
      <c r="B2900" s="1" t="str">
        <f ca="1">IFERROR(__xludf.DUMFUNCTION("GOOGLETRANSLATE(A2973,""id"",""en"")"),"the public is obliged to register  to buy BBM, fortunately the  application pays efficiency Cashless non cash")</f>
        <v>the public is obliged to register  to buy BBM, fortunately the  application pays efficiency Cashless non cash</v>
      </c>
    </row>
    <row r="2901" spans="1:2" x14ac:dyDescent="0.2">
      <c r="A2901" s="1" t="s">
        <v>4692</v>
      </c>
      <c r="B2901" s="1" t="str">
        <f ca="1">IFERROR(__xludf.DUMFUNCTION("GOOGLETRANSLATE(A2974,""id"",""en"")"),"Buy BBM Using the  Application Application Name Bring Cashback Untung then Application Command Monitoring Distribution Evaluation for BBM Subsidies Download the Cool Application Euy")</f>
        <v>Buy BBM Using the  Application Application Name Bring Cashback Untung then Application Command Monitoring Distribution Evaluation for BBM Subsidies Download the Cool Application Euy</v>
      </c>
    </row>
    <row r="2902" spans="1:2" x14ac:dyDescent="0.2">
      <c r="A2902" s="1" t="s">
        <v>163</v>
      </c>
      <c r="B2902" s="1" t="str">
        <f ca="1">IFERROR(__xludf.DUMFUNCTION("GOOGLETRANSLATE(A2975,""id"",""en"")"),"Yes, read the news link below forbid non -active cellphones that are easy to make aware task, it's hard to be aware of responsibility")</f>
        <v>Yes, read the news link below forbid non -active cellphones that are easy to make aware task, it's hard to be aware of responsibility</v>
      </c>
    </row>
    <row r="2903" spans="1:2" x14ac:dyDescent="0.2">
      <c r="A2903" s="1" t="s">
        <v>4693</v>
      </c>
      <c r="B2903" s="1" t="str">
        <f ca="1">IFERROR(__xludf.DUMFUNCTION("GOOGLETRANSLATE(A2976,""id"",""en"")"),"Use the  Application Cook Turn a fool")</f>
        <v>Use the  Application Cook Turn a fool</v>
      </c>
    </row>
    <row r="2904" spans="1:2" x14ac:dyDescent="0.2">
      <c r="A2904" s="1" t="s">
        <v>164</v>
      </c>
      <c r="B2904" s="1" t="str">
        <f ca="1">IFERROR(__xludf.DUMFUNCTION("GOOGLETRANSLATE(A2977,""id"",""en"")"),"Sandal Slip on Poison On Jelly Oren Store Thread Recommended PoisonSHOPEE Sandals Sandals Reply Holy")</f>
        <v>Sandal Slip on Poison On Jelly Oren Store Thread Recommended PoisonSHOPEE Sandals Sandals Reply Holy</v>
      </c>
    </row>
    <row r="2905" spans="1:2" x14ac:dyDescent="0.2">
      <c r="A2905" s="1" t="s">
        <v>4694</v>
      </c>
      <c r="B2905" s="1" t="str">
        <f ca="1">IFERROR(__xludf.DUMFUNCTION("GOOGLETRANSLATE(A2978,""id"",""en"")"),"Actually installing using  is just using it rarely to be the heart to hesitate to make a slow line because of paying")</f>
        <v>Actually installing using  is just using it rarely to be the heart to hesitate to make a slow line because of paying</v>
      </c>
    </row>
    <row r="2906" spans="1:2" x14ac:dyDescent="0.2">
      <c r="A2906" s="1" t="s">
        <v>4695</v>
      </c>
      <c r="B2906" s="1" t="str">
        <f ca="1">IFERROR(__xludf.DUMFUNCTION("GOOGLETRANSLATE(A2979,""id"",""en"")"),"the public appealed to the list of  applications to buy fuel subsidies from Pertalite Solar and then buy applications")</f>
        <v>the public appealed to the list of  applications to buy fuel subsidies from Pertalite Solar and then buy applications</v>
      </c>
    </row>
    <row r="2907" spans="1:2" x14ac:dyDescent="0.2">
      <c r="A2907" s="1" t="s">
        <v>4671</v>
      </c>
      <c r="B2907" s="1" t="str">
        <f ca="1">IFERROR(__xludf.DUMFUNCTION("GOOGLETRANSLATE(A2980,""id"",""en"")"),"Angkot Driver Riber Heavy Buying Solar Pertalite Using ")</f>
        <v xml:space="preserve">Angkot Driver Riber Heavy Buying Solar Pertalite Using </v>
      </c>
    </row>
    <row r="2908" spans="1:2" x14ac:dyDescent="0.2">
      <c r="A2908" s="1" t="s">
        <v>4671</v>
      </c>
      <c r="B2908" s="1" t="str">
        <f ca="1">IFERROR(__xludf.DUMFUNCTION("GOOGLETRANSLATE(A2981,""id"",""en"")"),"Angkot Driver Riber Heavy Buying Solar Pertalite Using ")</f>
        <v xml:space="preserve">Angkot Driver Riber Heavy Buying Solar Pertalite Using </v>
      </c>
    </row>
    <row r="2909" spans="1:2" x14ac:dyDescent="0.2">
      <c r="A2909" s="1" t="s">
        <v>4671</v>
      </c>
      <c r="B2909" s="1" t="str">
        <f ca="1">IFERROR(__xludf.DUMFUNCTION("GOOGLETRANSLATE(A2982,""id"",""en"")"),"Angkot Driver Riber Heavy Buying Solar Pertalite Using ")</f>
        <v xml:space="preserve">Angkot Driver Riber Heavy Buying Solar Pertalite Using </v>
      </c>
    </row>
    <row r="2910" spans="1:2" x14ac:dyDescent="0.2">
      <c r="A2910" s="1" t="s">
        <v>165</v>
      </c>
      <c r="B2910" s="1" t="str">
        <f ca="1">IFERROR(__xludf.DUMFUNCTION("GOOGLETRANSLATE(A2983,""id"",""en"")"),"Melon gas must use the Pay application using Linkaja")</f>
        <v>Melon gas must use the Pay application using Linkaja</v>
      </c>
    </row>
    <row r="2911" spans="1:2" x14ac:dyDescent="0.2">
      <c r="A2911" s="1" t="s">
        <v>4696</v>
      </c>
      <c r="B2911" s="1" t="str">
        <f ca="1">IFERROR(__xludf.DUMFUNCTION("GOOGLETRANSLATE(A2984,""id"",""en"")"),"Anjur download ")</f>
        <v xml:space="preserve">Anjur download </v>
      </c>
    </row>
    <row r="2912" spans="1:2" x14ac:dyDescent="0.2">
      <c r="A2912" s="1" t="s">
        <v>4697</v>
      </c>
      <c r="B2912" s="1" t="str">
        <f ca="1">IFERROR(__xludf.DUMFUNCTION("GOOGLETRANSLATE(A2985,""id"",""en"")")," is available Electronic Pay System Linkaja Integration System Efficient Use Payment Electronic Payment Help Prevent Clean Calculating")</f>
        <v xml:space="preserve"> is available Electronic Pay System Linkaja Integration System Efficient Use Payment Electronic Payment Help Prevent Clean Calculating</v>
      </c>
    </row>
    <row r="2913" spans="1:2" x14ac:dyDescent="0.2">
      <c r="A2913" s="1" t="s">
        <v>4698</v>
      </c>
      <c r="B2913" s="1" t="str">
        <f ca="1">IFERROR(__xludf.DUMFUNCTION("GOOGLETRANSLATE(A2987,""id"",""en"")"),"I already download  to buy pertalite, God smoothly, the sustenance")</f>
        <v>I already download  to buy pertalite, God smoothly, the sustenance</v>
      </c>
    </row>
    <row r="2914" spans="1:2" x14ac:dyDescent="0.2">
      <c r="A2914" s="1" t="s">
        <v>4699</v>
      </c>
      <c r="B2914" s="1" t="str">
        <f ca="1">IFERROR(__xludf.DUMFUNCTION("GOOGLETRANSLATE(A2988,""id"",""en"")"),"buy pertalite  note")</f>
        <v>buy pertalite  note</v>
      </c>
    </row>
    <row r="2915" spans="1:2" x14ac:dyDescent="0.2">
      <c r="A2915" s="1" t="s">
        <v>4700</v>
      </c>
      <c r="B2915" s="1" t="str">
        <f ca="1">IFERROR(__xludf.DUMFUNCTION("GOOGLETRANSLATE(A2989,""id"",""en"")"),"Tomorrow if  Hesoyam")</f>
        <v>Tomorrow if  Hesoyam</v>
      </c>
    </row>
    <row r="2916" spans="1:2" x14ac:dyDescent="0.2">
      <c r="A2916" s="1" t="s">
        <v>4701</v>
      </c>
      <c r="B2916" s="1" t="str">
        <f ca="1">IFERROR(__xludf.DUMFUNCTION("GOOGLETRANSLATE(A2990,""id"",""en"")"),"Try to tell Install ")</f>
        <v xml:space="preserve">Try to tell Install </v>
      </c>
    </row>
    <row r="2917" spans="1:2" x14ac:dyDescent="0.2">
      <c r="A2917" s="1" t="s">
        <v>4702</v>
      </c>
      <c r="B2917" s="1" t="str">
        <f ca="1">IFERROR(__xludf.DUMFUNCTION("GOOGLETRANSLATE(A2991,""id"",""en"")"),"PT  Persero Strict Plan for Buying BBM Subsidies Type of Pertalite Solar Kendara Roda Application  Persero update")</f>
        <v>PT  Persero Strict Plan for Buying BBM Subsidies Type of Pertalite Solar Kendara Roda Application  Persero update</v>
      </c>
    </row>
    <row r="2918" spans="1:2" x14ac:dyDescent="0.2">
      <c r="A2918" s="1" t="s">
        <v>4703</v>
      </c>
      <c r="B2918" s="1" t="str">
        <f ca="1">IFERROR(__xludf.DUMFUNCTION("GOOGLETRANSLATE(A2992,""id"",""en"")"),"Fortunately, the community of MMBembu Bbm  application is practical by attending CASHLESA to pay for present points that can exchange with rewards that are available")</f>
        <v>Fortunately, the community of MMBembu Bbm  application is practical by attending CASHLESA to pay for present points that can exchange with rewards that are available</v>
      </c>
    </row>
    <row r="2919" spans="1:2" x14ac:dyDescent="0.2">
      <c r="A2919" s="1" t="s">
        <v>4704</v>
      </c>
      <c r="B2919" s="1" t="str">
        <f ca="1">IFERROR(__xludf.DUMFUNCTION("GOOGLETRANSLATE(A2993,""id"",""en"")"),"Yogyakarta City gas station requirements for buying fuel using ")</f>
        <v xml:space="preserve">Yogyakarta City gas station requirements for buying fuel using </v>
      </c>
    </row>
    <row r="2920" spans="1:2" x14ac:dyDescent="0.2">
      <c r="A2920" s="1" t="s">
        <v>166</v>
      </c>
      <c r="B2920" s="1" t="str">
        <f ca="1">IFERROR(__xludf.DUMFUNCTION("GOOGLETRANSLATE(A2994,""id"",""en"")"),"belongs to a solo city food stall business, I am heavy to buy LPG gas measuring kg gas")</f>
        <v>belongs to a solo city food stall business, I am heavy to buy LPG gas measuring kg gas</v>
      </c>
    </row>
    <row r="2921" spans="1:2" x14ac:dyDescent="0.2">
      <c r="A2921" s="1" t="s">
        <v>4705</v>
      </c>
      <c r="B2921" s="1" t="str">
        <f ca="1">IFERROR(__xludf.DUMFUNCTION("GOOGLETRANSLATE(A2995,""id"",""en"")"),"belongs to a solo city food stall business, I am heavy to buy LPG gas measuring kg melon gas  application is the hassle of the mother")</f>
        <v>belongs to a solo city food stall business, I am heavy to buy LPG gas measuring kg melon gas  application is the hassle of the mother</v>
      </c>
    </row>
    <row r="2922" spans="1:2" x14ac:dyDescent="0.2">
      <c r="A2922" s="1" t="s">
        <v>2373</v>
      </c>
      <c r="B2922" s="1" t="str">
        <f ca="1">IFERROR(__xludf.DUMFUNCTION("GOOGLETRANSLATE(A2996,""id"",""en"")"),"Pertalite Buy Lpg Kg List ")</f>
        <v xml:space="preserve">Pertalite Buy Lpg Kg List </v>
      </c>
    </row>
    <row r="2923" spans="1:2" x14ac:dyDescent="0.2">
      <c r="A2923" s="1" t="s">
        <v>167</v>
      </c>
      <c r="B2923" s="1" t="str">
        <f ca="1">IFERROR(__xludf.DUMFUNCTION("GOOGLETRANSLATE(A2997,""id"",""en"")"),"ndang do list Ra Iso Tuku Pertalite Cash still SK List PO NK RA GELEM REST")</f>
        <v>ndang do list Ra Iso Tuku Pertalite Cash still SK List PO NK RA GELEM REST</v>
      </c>
    </row>
    <row r="2924" spans="1:2" x14ac:dyDescent="0.2">
      <c r="A2924" s="1" t="s">
        <v>4706</v>
      </c>
      <c r="B2924" s="1" t="str">
        <f ca="1">IFERROR(__xludf.DUMFUNCTION("GOOGLETRANSLATE(A2998,""id"",""en"")"),"Nyablon Banner Brief Mobile SPBU Areas Except  Access")</f>
        <v>Nyablon Banner Brief Mobile SPBU Areas Except  Access</v>
      </c>
    </row>
    <row r="2925" spans="1:2" x14ac:dyDescent="0.2">
      <c r="A2925" s="1" t="s">
        <v>4707</v>
      </c>
      <c r="B2925" s="1" t="str">
        <f ca="1">IFERROR(__xludf.DUMFUNCTION("GOOGLETRANSLATE(A2999,""id"",""en"")"),"just protect the scan application if the rating of  playstore is forced")</f>
        <v>just protect the scan application if the rating of  playstore is forced</v>
      </c>
    </row>
    <row r="2926" spans="1:2" x14ac:dyDescent="0.2">
      <c r="A2926" s="1" t="s">
        <v>4708</v>
      </c>
      <c r="B2926" s="1" t="str">
        <f ca="1">IFERROR(__xludf.DUMFUNCTION("GOOGLETRANSLATE(A3000,""id"",""en"")"),"Fortunately, by the  application that is efficient, non -cash points buy fuel with the points can exchange with rewards")</f>
        <v>Fortunately, by the  application that is efficient, non -cash points buy fuel with the points can exchange with rewards</v>
      </c>
    </row>
    <row r="2927" spans="1:2" x14ac:dyDescent="0.2">
      <c r="A2927" s="1" t="s">
        <v>4709</v>
      </c>
      <c r="B2927" s="1" t="str">
        <f ca="1">IFERROR(__xludf.DUMFUNCTION("GOOGLETRANSLATE(A3001,""id"",""en"")"),"Fortunately the  Application to Exchange Rewards Application ")</f>
        <v xml:space="preserve">Fortunately the  Application to Exchange Rewards Application </v>
      </c>
    </row>
    <row r="2928" spans="1:2" x14ac:dyDescent="0.2">
      <c r="A2928" s="1" t="s">
        <v>4710</v>
      </c>
      <c r="B2928" s="1" t="str">
        <f ca="1">IFERROR(__xludf.DUMFUNCTION("GOOGLETRANSLATE(A3002,""id"",""en"")"),"Pertalite Solar Buy LPG Kilo  Application Silence  Test")</f>
        <v>Pertalite Solar Buy LPG Kilo  Application Silence  Test</v>
      </c>
    </row>
    <row r="2929" spans="1:2" x14ac:dyDescent="0.2">
      <c r="A2929" s="1" t="s">
        <v>4711</v>
      </c>
      <c r="B2929" s="1" t="str">
        <f ca="1">IFERROR(__xludf.DUMFUNCTION("GOOGLETRANSLATE(A3003,""id"",""en"")"),"Check out the Kendara Criteria Buy Pertalite Solar ")</f>
        <v xml:space="preserve">Check out the Kendara Criteria Buy Pertalite Solar </v>
      </c>
    </row>
    <row r="2930" spans="1:2" x14ac:dyDescent="0.2">
      <c r="A2930" s="1" t="s">
        <v>168</v>
      </c>
      <c r="B2930" s="1" t="str">
        <f ca="1">IFERROR(__xludf.DUMFUNCTION("GOOGLETRANSLATE(A3004,""id"",""en"")"),"people who hang life selling stalls ig fb communication wa")</f>
        <v>people who hang life selling stalls ig fb communication wa</v>
      </c>
    </row>
    <row r="2931" spans="1:2" x14ac:dyDescent="0.2">
      <c r="A2931" s="1" t="s">
        <v>4712</v>
      </c>
      <c r="B2931" s="1" t="str">
        <f ca="1">IFERROR(__xludf.DUMFUNCTION("GOOGLETRANSLATE(A3005,""id"",""en"")"),"Country Application Using Application Buy Bbm Using  Buy Cooking Oil Plans Using the application Buy Online Using the Application Ibu Use the Application Scan Cares Protection is okay, don't force it to make the people difficult")</f>
        <v>Country Application Using Application Buy Bbm Using  Buy Cooking Oil Plans Using the application Buy Online Using the Application Ibu Use the Application Scan Cares Protection is okay, don't force it to make the people difficult</v>
      </c>
    </row>
    <row r="2932" spans="1:2" x14ac:dyDescent="0.2">
      <c r="A2932" s="1" t="s">
        <v>4713</v>
      </c>
      <c r="B2932" s="1" t="str">
        <f ca="1">IFERROR(__xludf.DUMFUNCTION("GOOGLETRANSLATE(A3006,""id"",""en"")"),"This is the pm, the link is the initiation of the integrate so  so it doesn't download the  application")</f>
        <v>This is the pm, the link is the initiation of the integrate so  so it doesn't download the  application</v>
      </c>
    </row>
    <row r="2933" spans="1:2" x14ac:dyDescent="0.2">
      <c r="A2933" s="1" t="s">
        <v>4714</v>
      </c>
      <c r="B2933" s="1" t="str">
        <f ca="1">IFERROR(__xludf.DUMFUNCTION("GOOGLETRANSLATE(A3007,""id"",""en"")"),"It is said that the gas station is not cellphone because it is forced to use the  application to buy BBM Piye Jal")</f>
        <v>It is said that the gas station is not cellphone because it is forced to use the  application to buy BBM Piye Jal</v>
      </c>
    </row>
    <row r="2934" spans="1:2" x14ac:dyDescent="0.2">
      <c r="A2934" s="1" t="s">
        <v>4715</v>
      </c>
      <c r="B2934" s="1" t="str">
        <f ca="1">IFERROR(__xludf.DUMFUNCTION("GOOGLETRANSLATE(A3008,""id"",""en"")"),"Takkira List of  Tok List Linkaja Asuuu")</f>
        <v>Takkira List of  Tok List Linkaja Asuuu</v>
      </c>
    </row>
    <row r="2935" spans="1:2" x14ac:dyDescent="0.2">
      <c r="A2935" s="1" t="s">
        <v>4716</v>
      </c>
      <c r="B2935" s="1" t="str">
        <f ca="1">IFERROR(__xludf.DUMFUNCTION("GOOGLETRANSLATE(A3009,""id"",""en"")"),"facing Karni Ilyas Arya Sinulingga Clarification Buy Pertalite Must Use  Aryasinulingga Karniilyas Pertalite ")</f>
        <v xml:space="preserve">facing Karni Ilyas Arya Sinulingga Clarification Buy Pertalite Must Use  Aryasinulingga Karniilyas Pertalite </v>
      </c>
    </row>
    <row r="2936" spans="1:2" x14ac:dyDescent="0.2">
      <c r="A2936" s="1" t="s">
        <v>4717</v>
      </c>
      <c r="B2936" s="1" t="str">
        <f ca="1">IFERROR(__xludf.DUMFUNCTION("GOOGLETRANSLATE(A3010,""id"",""en"")"),"Riau SPBU LAYAN BUY BBM ")</f>
        <v xml:space="preserve">Riau SPBU LAYAN BUY BBM </v>
      </c>
    </row>
    <row r="2937" spans="1:2" x14ac:dyDescent="0.2">
      <c r="A2937" s="1" t="s">
        <v>169</v>
      </c>
      <c r="B2937" s="1" t="str">
        <f ca="1">IFERROR(__xludf.DUMFUNCTION("GOOGLETRANSLATE(A3011,""id"",""en"")"),"Please read comments")</f>
        <v>Please read comments</v>
      </c>
    </row>
    <row r="2938" spans="1:2" x14ac:dyDescent="0.2">
      <c r="A2938" s="1" t="s">
        <v>4718</v>
      </c>
      <c r="B2938" s="1" t="str">
        <f ca="1">IFERROR(__xludf.DUMFUNCTION("GOOGLETRANSLATE(A3012,""id"",""en"")"),"Buy Pertalite Solar Mandatory  Application Buy BBM Community Bring a Smartphone")</f>
        <v>Buy Pertalite Solar Mandatory  Application Buy BBM Community Bring a Smartphone</v>
      </c>
    </row>
    <row r="2939" spans="1:2" x14ac:dyDescent="0.2">
      <c r="A2939" s="1" t="s">
        <v>4711</v>
      </c>
      <c r="B2939" s="1" t="str">
        <f ca="1">IFERROR(__xludf.DUMFUNCTION("GOOGLETRANSLATE(A3013,""id"",""en"")"),"Check out the Kendara Criteria Buy Pertalite Solar ")</f>
        <v xml:space="preserve">Check out the Kendara Criteria Buy Pertalite Solar </v>
      </c>
    </row>
    <row r="2940" spans="1:2" x14ac:dyDescent="0.2">
      <c r="A2940" s="1" t="s">
        <v>4719</v>
      </c>
      <c r="B2940" s="1" t="str">
        <f ca="1">IFERROR(__xludf.DUMFUNCTION("GOOGLETRANSLATE(A3014,""id"",""en"")"),"crowded  buying fuel is indeed a formula for receiving fuel subsidies cc kendara for vehicle price synchronous price dtks Ministry of Ministry of Home Affairs Sitting Ministry of Home Affairs Type of Kendara Bapeda")</f>
        <v>crowded  buying fuel is indeed a formula for receiving fuel subsidies cc kendara for vehicle price synchronous price dtks Ministry of Ministry of Home Affairs Sitting Ministry of Home Affairs Type of Kendara Bapeda</v>
      </c>
    </row>
    <row r="2941" spans="1:2" x14ac:dyDescent="0.2">
      <c r="A2941" s="1" t="s">
        <v>4720</v>
      </c>
      <c r="B2941" s="1" t="str">
        <f ca="1">IFERROR(__xludf.DUMFUNCTION("GOOGLETRANSLATE(A3015,""id"",""en"")"),"queuing up using  application")</f>
        <v>queuing up using  application</v>
      </c>
    </row>
    <row r="2942" spans="1:2" x14ac:dyDescent="0.2">
      <c r="A2942" s="1" t="s">
        <v>4721</v>
      </c>
      <c r="B2942" s="1" t="str">
        <f ca="1">IFERROR(__xludf.DUMFUNCTION("GOOGLETRANSLATE(A3016,""id"",""en"")"),"gas station available free wifi for ")</f>
        <v xml:space="preserve">gas station available free wifi for </v>
      </c>
    </row>
    <row r="2943" spans="1:2" x14ac:dyDescent="0.2">
      <c r="A2943" s="1" t="s">
        <v>4722</v>
      </c>
      <c r="B2943" s="1" t="str">
        <f ca="1">IFERROR(__xludf.DUMFUNCTION("GOOGLETRANSLATE(A3017,""id"",""en"")"),"List of July City Regency Contents of BBM Solar Subsidies Pertalite Mandatory ")</f>
        <v xml:space="preserve">List of July City Regency Contents of BBM Solar Subsidies Pertalite Mandatory </v>
      </c>
    </row>
    <row r="2944" spans="1:2" x14ac:dyDescent="0.2">
      <c r="A2944" s="1" t="s">
        <v>4723</v>
      </c>
      <c r="B2944" s="1" t="str">
        <f ca="1">IFERROR(__xludf.DUMFUNCTION("GOOGLETRANSLATE(A3018,""id"",""en"")")," rating")</f>
        <v xml:space="preserve"> rating</v>
      </c>
    </row>
    <row r="2945" spans="1:2" x14ac:dyDescent="0.2">
      <c r="A2945" s="1" t="s">
        <v>4724</v>
      </c>
      <c r="B2945" s="1" t="str">
        <f ca="1">IFERROR(__xludf.DUMFUNCTION("GOOGLETRANSLATE(A3019,""id"",""en"")"),"rukhp closes holywings ")</f>
        <v xml:space="preserve">rukhp closes holywings </v>
      </c>
    </row>
    <row r="2946" spans="1:2" x14ac:dyDescent="0.2">
      <c r="A2946" s="1" t="s">
        <v>4725</v>
      </c>
      <c r="B2946" s="1" t="str">
        <f ca="1">IFERROR(__xludf.DUMFUNCTION("GOOGLETRANSLATE(A3020,""id"",""en"")"),"SELL SUPPORT BUY PERTALITE SOLAR USING  MOTOR MOTORS")</f>
        <v>SELL SUPPORT BUY PERTALITE SOLAR USING  MOTOR MOTORS</v>
      </c>
    </row>
    <row r="2947" spans="1:2" x14ac:dyDescent="0.2">
      <c r="A2947" s="1" t="s">
        <v>4726</v>
      </c>
      <c r="B2947" s="1" t="str">
        <f ca="1">IFERROR(__xludf.DUMFUNCTION("GOOGLETRANSLATE(A3021,""id"",""en"")"),"Playing Hp SPBU forbidding Bbm Paying Bbm Use Using  APPLIATION PICU NO")</f>
        <v>Playing Hp SPBU forbidding Bbm Paying Bbm Use Using  APPLIATION PICU NO</v>
      </c>
    </row>
    <row r="2948" spans="1:2" x14ac:dyDescent="0.2">
      <c r="A2948" s="1" t="s">
        <v>4727</v>
      </c>
      <c r="B2948" s="1" t="str">
        <f ca="1">IFERROR(__xludf.DUMFUNCTION("GOOGLETRANSLATE(A3022,""id"",""en"")"),"Buy BBM, Make  ITUH APK APK AMPELINNYAH FREE")</f>
        <v>Buy BBM, Make  ITUH APK APK AMPELINNYAH FREE</v>
      </c>
    </row>
    <row r="2949" spans="1:2" x14ac:dyDescent="0.2">
      <c r="A2949" s="1" t="s">
        <v>4728</v>
      </c>
      <c r="B2949" s="1" t="str">
        <f ca="1">IFERROR(__xludf.DUMFUNCTION("GOOGLETRANSLATE(A3023,""id"",""en"")"),"Selling cheap netflix warranty dm wa youtube premium spotify disney hotstar viu apple music go wetv grammarly hbo amazon prime video zoom iqiyi scribd nordvpn max video mola tv wtp tni kemhan cold jordi ma bouttier ")</f>
        <v xml:space="preserve">Selling cheap netflix warranty dm wa youtube premium spotify disney hotstar viu apple music go wetv grammarly hbo amazon prime video zoom iqiyi scribd nordvpn max video mola tv wtp tni kemhan cold jordi ma bouttier </v>
      </c>
    </row>
    <row r="2950" spans="1:2" x14ac:dyDescent="0.2">
      <c r="A2950" s="1" t="s">
        <v>4610</v>
      </c>
      <c r="B2950" s="1" t="str">
        <f ca="1">IFERROR(__xludf.DUMFUNCTION("GOOGLETRANSLATE(A3024,""id"",""en"")"),"   Dun Gu Application  Hajar Malcraft Netizens Rating plummeted")</f>
        <v xml:space="preserve">   Dun Gu Application  Hajar Malcraft Netizens Rating plummeted</v>
      </c>
    </row>
    <row r="2951" spans="1:2" x14ac:dyDescent="0.2">
      <c r="A2951" s="1" t="s">
        <v>4729</v>
      </c>
      <c r="B2951" s="1" t="str">
        <f ca="1">IFERROR(__xludf.DUMFUNCTION("GOOGLETRANSLATE(A3025,""id"",""en"")"),"Jabat PJS Corporate Secretary of PT  Patra Niaga Irto Ginting Trials Wisely Buy Pertalite Using  Motor Tempobusiness")</f>
        <v>Jabat PJS Corporate Secretary of PT  Patra Niaga Irto Ginting Trials Wisely Buy Pertalite Using  Motor Tempobusiness</v>
      </c>
    </row>
    <row r="2952" spans="1:2" x14ac:dyDescent="0.2">
      <c r="A2952" s="1" t="s">
        <v>4730</v>
      </c>
      <c r="B2952" s="1" t="str">
        <f ca="1">IFERROR(__xludf.DUMFUNCTION("GOOGLETRANSLATE(A3026,""id"",""en"")")," account does not verify the cellphone number, the evaluation is that the apk is the one who uses the apk wkkwkw")</f>
        <v xml:space="preserve"> account does not verify the cellphone number, the evaluation is that the apk is the one who uses the apk wkkwkw</v>
      </c>
    </row>
    <row r="2953" spans="1:2" x14ac:dyDescent="0.2">
      <c r="A2953" s="1" t="s">
        <v>4731</v>
      </c>
      <c r="B2953" s="1" t="str">
        <f ca="1">IFERROR(__xludf.DUMFUNCTION("GOOGLETRANSLATE(A3027,""id"",""en"")")," already installed dftar pin number when you login the pin wrong already enter the pin number according to the results just repeat the results")</f>
        <v xml:space="preserve"> already installed dftar pin number when you login the pin wrong already enter the pin number according to the results just repeat the results</v>
      </c>
    </row>
    <row r="2954" spans="1:2" x14ac:dyDescent="0.2">
      <c r="A2954" s="1" t="s">
        <v>4649</v>
      </c>
      <c r="B2954" s="1" t="str">
        <f ca="1">IFERROR(__xludf.DUMFUNCTION("GOOGLETRANSLATE(A3028,""id"",""en"")"),"Go to the contents of the Pertalite list of  to avoid abuse")</f>
        <v>Go to the contents of the Pertalite list of  to avoid abuse</v>
      </c>
    </row>
    <row r="2955" spans="1:2" x14ac:dyDescent="0.2">
      <c r="A2955" s="1" t="s">
        <v>4732</v>
      </c>
      <c r="B2955" s="1" t="str">
        <f ca="1">IFERROR(__xludf.DUMFUNCTION("GOOGLETRANSLATE(A3029,""id"",""en"")"),"Min, just suggest if you use , pay using the link, scan qr code, it's not hard to verify the PIN.")</f>
        <v>Min, just suggest if you use , pay using the link, scan qr code, it's not hard to verify the PIN.</v>
      </c>
    </row>
    <row r="2956" spans="1:2" x14ac:dyDescent="0.2">
      <c r="A2956" s="1" t="s">
        <v>4733</v>
      </c>
      <c r="B2956" s="1" t="str">
        <f ca="1">IFERROR(__xludf.DUMFUNCTION("GOOGLETRANSLATE(A3030,""id"",""en"")"),"Buy Pertalite Solar Using  Angkot Driver Using Android")</f>
        <v>Buy Pertalite Solar Using  Angkot Driver Using Android</v>
      </c>
    </row>
    <row r="2957" spans="1:2" x14ac:dyDescent="0.2">
      <c r="A2957" s="1" t="s">
        <v>4734</v>
      </c>
      <c r="B2957" s="1" t="str">
        <f ca="1">IFERROR(__xludf.DUMFUNCTION("GOOGLETRANSLATE(A3032,""id"",""en"")"),"List of  Sek Gawe Ngopi")</f>
        <v>List of  Sek Gawe Ngopi</v>
      </c>
    </row>
    <row r="2958" spans="1:2" x14ac:dyDescent="0.2">
      <c r="A2958" s="1" t="s">
        <v>4735</v>
      </c>
      <c r="B2958" s="1" t="str">
        <f ca="1">IFERROR(__xludf.DUMFUNCTION("GOOGLETRANSLATE(A3033,""id"",""en"")"),"Buy BBM Subsidies July  Application")</f>
        <v>Buy BBM Subsidies July  Application</v>
      </c>
    </row>
    <row r="2959" spans="1:2" x14ac:dyDescent="0.2">
      <c r="A2959" s="1" t="s">
        <v>4736</v>
      </c>
      <c r="B2959" s="1" t="str">
        <f ca="1">IFERROR(__xludf.DUMFUNCTION("GOOGLETRANSLATE(A3034,""id"",""en"")"),"Ewallet Partner  Pay Report to Unplug")</f>
        <v>Ewallet Partner  Pay Report to Unplug</v>
      </c>
    </row>
    <row r="2960" spans="1:2" x14ac:dyDescent="0.2">
      <c r="A2960" s="1" t="s">
        <v>4737</v>
      </c>
      <c r="B2960" s="1" t="str">
        <f ca="1">IFERROR(__xludf.DUMFUNCTION("GOOGLETRANSLATE(A3035,""id"",""en"")"),"Suggestions If the  app features the gasoline cod between people's homes")</f>
        <v>Suggestions If the  app features the gasoline cod between people's homes</v>
      </c>
    </row>
    <row r="2961" spans="1:2" x14ac:dyDescent="0.2">
      <c r="A2961" s="1" t="s">
        <v>170</v>
      </c>
      <c r="B2961" s="1" t="str">
        <f ca="1">IFERROR(__xludf.DUMFUNCTION("GOOGLETRANSLATE(A3036,""id"",""en"")"),"Website List")</f>
        <v>Website List</v>
      </c>
    </row>
    <row r="2962" spans="1:2" x14ac:dyDescent="0.2">
      <c r="A2962" s="1" t="s">
        <v>4738</v>
      </c>
      <c r="B2962" s="1" t="str">
        <f ca="1">IFERROR(__xludf.DUMFUNCTION("GOOGLETRANSLATE(A3037,""id"",""en"")"),"Gass List ")</f>
        <v xml:space="preserve">Gass List </v>
      </c>
    </row>
    <row r="2963" spans="1:2" x14ac:dyDescent="0.2">
      <c r="A2963" s="1" t="s">
        <v>4739</v>
      </c>
      <c r="B2963" s="1" t="str">
        <f ca="1">IFERROR(__xludf.DUMFUNCTION("GOOGLETRANSLATE(A3038,""id"",""en"")"),"List of  Application Mandatory Buy Solar Pertalite")</f>
        <v>List of  Application Mandatory Buy Solar Pertalite</v>
      </c>
    </row>
    <row r="2964" spans="1:2" x14ac:dyDescent="0.2">
      <c r="A2964" s="1" t="s">
        <v>4740</v>
      </c>
      <c r="B2964" s="1" t="str">
        <f ca="1">IFERROR(__xludf.DUMFUNCTION("GOOGLETRANSLATE(A3039,""id"",""en"")"),"CONNECT ACCOUNT LINKAJA  APPLICATION PAY PERTALITE SOLAR")</f>
        <v>CONNECT ACCOUNT LINKAJA  APPLICATION PAY PERTALITE SOLAR</v>
      </c>
    </row>
    <row r="2965" spans="1:2" x14ac:dyDescent="0.2">
      <c r="A2965" s="1" t="s">
        <v>4741</v>
      </c>
      <c r="B2965" s="1" t="str">
        <f ca="1">IFERROR(__xludf.DUMFUNCTION("GOOGLETRANSLATE(A3040,""id"",""en"")"),"later if the toilet gas station before entering using  too")</f>
        <v>later if the toilet gas station before entering using  too</v>
      </c>
    </row>
    <row r="2966" spans="1:2" x14ac:dyDescent="0.2">
      <c r="A2966" s="1" t="s">
        <v>4742</v>
      </c>
      <c r="B2966" s="1" t="str">
        <f ca="1">IFERROR(__xludf.DUMFUNCTION("GOOGLETRANSLATE(A3041,""id"",""en"")"),"List of  websites yaa bestiee")</f>
        <v>List of  websites yaa bestiee</v>
      </c>
    </row>
    <row r="2967" spans="1:2" x14ac:dyDescent="0.2">
      <c r="A2967" s="1" t="s">
        <v>4743</v>
      </c>
      <c r="B2967" s="1" t="str">
        <f ca="1">IFERROR(__xludf.DUMFUNCTION("GOOGLETRANSLATE(A3042,""id"",""en"")"),"which appears the head of the general aing wise registration  appears")</f>
        <v>which appears the head of the general aing wise registration  appears</v>
      </c>
    </row>
    <row r="2968" spans="1:2" x14ac:dyDescent="0.2">
      <c r="A2968" s="1" t="s">
        <v>4744</v>
      </c>
      <c r="B2968" s="1" t="str">
        <f ca="1">IFERROR(__xludf.DUMFUNCTION("GOOGLETRANSLATE(A3043,""id"",""en"")"),"help regis people safe data if data abuse is what if the phenomenon of the jockey regis  appears")</f>
        <v>help regis people safe data if data abuse is what if the phenomenon of the jockey regis  appears</v>
      </c>
    </row>
    <row r="2969" spans="1:2" x14ac:dyDescent="0.2">
      <c r="A2969" s="1" t="s">
        <v>4745</v>
      </c>
      <c r="B2969" s="1" t="str">
        <f ca="1">IFERROR(__xludf.DUMFUNCTION("GOOGLETRANSLATE(A3044,""id"",""en"")"),"Kendara Pribadi Worthy of Subsidy Eh Registration Ga Si Buy Pertalite Amp Solar  Potential Social Lever Width")</f>
        <v>Kendara Pribadi Worthy of Subsidy Eh Registration Ga Si Buy Pertalite Amp Solar  Potential Social Lever Width</v>
      </c>
    </row>
    <row r="2970" spans="1:2" x14ac:dyDescent="0.2">
      <c r="A2970" s="1" t="s">
        <v>4746</v>
      </c>
      <c r="B2970" s="1" t="str">
        <f ca="1">IFERROR(__xludf.DUMFUNCTION("GOOGLETRANSLATE(A3045,""id"",""en"")"),"Implementation of buying Pertalite Solar List  September")</f>
        <v>Implementation of buying Pertalite Solar List  September</v>
      </c>
    </row>
    <row r="2971" spans="1:2" x14ac:dyDescent="0.2">
      <c r="A2971" s="1" t="s">
        <v>4747</v>
      </c>
      <c r="B2971" s="1" t="str">
        <f ca="1">IFERROR(__xludf.DUMFUNCTION("GOOGLETRANSLATE(A3046,""id"",""en"")"),"Buy Pertalite Solar must list the  July account Andre Rosiade highlighted mobile citizens")</f>
        <v>Buy Pertalite Solar must list the  July account Andre Rosiade highlighted mobile citizens</v>
      </c>
    </row>
    <row r="2972" spans="1:2" x14ac:dyDescent="0.2">
      <c r="A2972" s="1" t="s">
        <v>4748</v>
      </c>
      <c r="B2972" s="1" t="str">
        <f ca="1">IFERROR(__xludf.DUMFUNCTION("GOOGLETRANSLATE(A3047,""id"",""en"")"),"NGO FIRST USING  NOT NO SOLAR")</f>
        <v>NGO FIRST USING  NOT NO SOLAR</v>
      </c>
    </row>
    <row r="2973" spans="1:2" x14ac:dyDescent="0.2">
      <c r="A2973" s="1" t="s">
        <v>4749</v>
      </c>
      <c r="B2973" s="1" t="str">
        <f ca="1">IFERROR(__xludf.DUMFUNCTION("GOOGLETRANSLATE(A3048,""id"",""en"")"),"calm down motorbike mandatory  buy pertalite")</f>
        <v>calm down motorbike mandatory  buy pertalite</v>
      </c>
    </row>
    <row r="2974" spans="1:2" x14ac:dyDescent="0.2">
      <c r="A2974" s="1" t="s">
        <v>4750</v>
      </c>
      <c r="B2974" s="1" t="str">
        <f ca="1">IFERROR(__xludf.DUMFUNCTION("GOOGLETRANSLATE(A3049,""id"",""en"")"),"Night See News Truck Truck Interview Buy BBM Solar  application is wise already usually trying to sell already ordinary easy ")</f>
        <v xml:space="preserve">Night See News Truck Truck Interview Buy BBM Solar  application is wise already usually trying to sell already ordinary easy </v>
      </c>
    </row>
    <row r="2975" spans="1:2" x14ac:dyDescent="0.2">
      <c r="A2975" s="1" t="s">
        <v>4751</v>
      </c>
      <c r="B2975" s="1" t="str">
        <f ca="1">IFERROR(__xludf.DUMFUNCTION("GOOGLETRANSLATE(A3050,""id"",""en"")"),"Buy Pertalite Solar Using  Tomorrow, the residents of Jogja SPBU location new trials")</f>
        <v>Buy Pertalite Solar Using  Tomorrow, the residents of Jogja SPBU location new trials</v>
      </c>
    </row>
    <row r="2976" spans="1:2" x14ac:dyDescent="0.2">
      <c r="A2976" s="1" t="s">
        <v>4752</v>
      </c>
      <c r="B2976" s="1" t="str">
        <f ca="1">IFERROR(__xludf.DUMFUNCTION("GOOGLETRANSLATE(A3051,""id"",""en"")"),"Buy Pertalite Solar Subsidy Application SIMAK ")</f>
        <v xml:space="preserve">Buy Pertalite Solar Subsidy Application SIMAK </v>
      </c>
    </row>
    <row r="2977" spans="1:2" x14ac:dyDescent="0.2">
      <c r="A2977" s="1" t="s">
        <v>4753</v>
      </c>
      <c r="B2977" s="1" t="str">
        <f ca="1">IFERROR(__xludf.DUMFUNCTION("GOOGLETRANSLATE(A3052,""id"",""en"")")," tutorial")</f>
        <v xml:space="preserve"> tutorial</v>
      </c>
    </row>
    <row r="2978" spans="1:2" x14ac:dyDescent="0.2">
      <c r="A2978" s="1" t="s">
        <v>4754</v>
      </c>
      <c r="B2978" s="1" t="str">
        <f ca="1">IFERROR(__xludf.DUMFUNCTION("GOOGLETRANSLATE(A3053,""id"",""en"")"),"For the car to list the  Website application, buy Pertalite")</f>
        <v>For the car to list the  Website application, buy Pertalite</v>
      </c>
    </row>
    <row r="2979" spans="1:2" x14ac:dyDescent="0.2">
      <c r="A2979" s="1" t="s">
        <v>4597</v>
      </c>
      <c r="B2979" s="1" t="str">
        <f ca="1">IFERROR(__xludf.DUMFUNCTION("GOOGLETRANSLATE(A3054,""id"",""en"")"),"Bill Criminal Code Mapping Data Sitting via the  Application Pedulilat Gw Giga")</f>
        <v>Bill Criminal Code Mapping Data Sitting via the  Application Pedulilat Gw Giga</v>
      </c>
    </row>
    <row r="2980" spans="1:2" x14ac:dyDescent="0.2">
      <c r="A2980" s="1" t="s">
        <v>4755</v>
      </c>
      <c r="B2980" s="1" t="str">
        <f ca="1">IFERROR(__xludf.DUMFUNCTION("GOOGLETRANSLATE(A3055,""id"",""en"")"),"Document Ready to Register the  July Website")</f>
        <v>Document Ready to Register the  July Website</v>
      </c>
    </row>
    <row r="2981" spans="1:2" x14ac:dyDescent="0.2">
      <c r="A2981" s="1" t="s">
        <v>4756</v>
      </c>
      <c r="B2981" s="1" t="str">
        <f ca="1">IFERROR(__xludf.DUMFUNCTION("GOOGLETRANSLATE(A3056,""id"",""en"")"),"Old HP old school angkot driver difficult difficult  https")</f>
        <v>Old HP old school angkot driver difficult difficult  https</v>
      </c>
    </row>
    <row r="2982" spans="1:2" x14ac:dyDescent="0.2">
      <c r="A2982" s="1" t="s">
        <v>4757</v>
      </c>
      <c r="B2982" s="1" t="str">
        <f ca="1">IFERROR(__xludf.DUMFUNCTION("GOOGLETRANSLATE(A3057,""id"",""en"")"),"wing when Ijek Tuku Pertamax Gae  for form a discount only an internet connection must be stable")</f>
        <v>wing when Ijek Tuku Pertamax Gae  for form a discount only an internet connection must be stable</v>
      </c>
    </row>
    <row r="2983" spans="1:2" x14ac:dyDescent="0.2">
      <c r="A2983" s="1" t="s">
        <v>4758</v>
      </c>
      <c r="B2983" s="1" t="str">
        <f ca="1">IFERROR(__xludf.DUMFUNCTION("GOOGLETRANSLATE(A3058,""id"",""en"")"),"using  buying pertalite lpg makes sense to buy cooking oil using protected pedulilat")</f>
        <v>using  buying pertalite lpg makes sense to buy cooking oil using protected pedulilat</v>
      </c>
    </row>
    <row r="2984" spans="1:2" x14ac:dyDescent="0.2">
      <c r="A2984" s="1" t="s">
        <v>4759</v>
      </c>
      <c r="B2984" s="1" t="str">
        <f ca="1">IFERROR(__xludf.DUMFUNCTION("GOOGLETRANSLATE(A3059,""id"",""en"")"),"If you are for the socialization limit to the people with the Digitalization of , slowly have a work to work, but you see the gas station work to fill BBM, replace the BAS Digital Application")</f>
        <v>If you are for the socialization limit to the people with the Digitalization of , slowly have a work to work, but you see the gas station work to fill BBM, replace the BAS Digital Application</v>
      </c>
    </row>
    <row r="2985" spans="1:2" x14ac:dyDescent="0.2">
      <c r="A2985" s="1" t="s">
        <v>4760</v>
      </c>
      <c r="B2985" s="1" t="str">
        <f ca="1">IFERROR(__xludf.DUMFUNCTION("GOOGLETRANSLATE(A3060,""id"",""en"")"),"Register via the  Website ACU Protection of the Community which is the right to BBM subsidized fuel")</f>
        <v>Register via the  Website ACU Protection of the Community which is the right to BBM subsidized fuel</v>
      </c>
    </row>
    <row r="2986" spans="1:2" x14ac:dyDescent="0.2">
      <c r="A2986" s="1" t="s">
        <v>171</v>
      </c>
      <c r="B2986" s="1" t="str">
        <f ca="1">IFERROR(__xludf.DUMFUNCTION("GOOGLETRANSLATE(A3061,""id"",""en"")"),"Friends of northern friends")</f>
        <v>Friends of northern friends</v>
      </c>
    </row>
    <row r="2987" spans="1:2" x14ac:dyDescent="0.2">
      <c r="A2987" s="1" t="s">
        <v>4761</v>
      </c>
      <c r="B2987" s="1" t="str">
        <f ca="1">IFERROR(__xludf.DUMFUNCTION("GOOGLETRANSLATE(A3062,""id"",""en"")"),"if the distribution of gas lpg kg BBM subsidized with the application of  hrs people socialization which has emerged the era of digitalization of the impact of reducing the workforce, but it is not like the work that fills the fuel of the gas s"&amp;"tation vehicle tank tank")</f>
        <v>if the distribution of gas lpg kg BBM subsidized with the application of  hrs people socialization which has emerged the era of digitalization of the impact of reducing the workforce, but it is not like the work that fills the fuel of the gas station vehicle tank tank</v>
      </c>
    </row>
    <row r="2988" spans="1:2" x14ac:dyDescent="0.2">
      <c r="A2988" s="1" t="s">
        <v>4762</v>
      </c>
      <c r="B2988" s="1" t="str">
        <f ca="1">IFERROR(__xludf.DUMFUNCTION("GOOGLETRANSLATE(A3063,""id"",""en"")")," Trial Scheme Buy Fuel Scheme Buy List  Buy Pertalite Solar SPBU")</f>
        <v xml:space="preserve"> Trial Scheme Buy Fuel Scheme Buy List  Buy Pertalite Solar SPBU</v>
      </c>
    </row>
    <row r="2989" spans="1:2" x14ac:dyDescent="0.2">
      <c r="A2989" s="1" t="s">
        <v>4763</v>
      </c>
      <c r="B2989" s="1" t="str">
        <f ca="1">IFERROR(__xludf.DUMFUNCTION("GOOGLETRANSLATE(A3064,""id"",""en"")"),"Turn Back Hoax Buy BBM Wrong Using the  Application")</f>
        <v>Turn Back Hoax Buy BBM Wrong Using the  Application</v>
      </c>
    </row>
    <row r="2990" spans="1:2" x14ac:dyDescent="0.2">
      <c r="A2990" s="1" t="s">
        <v>4764</v>
      </c>
      <c r="B2990" s="1" t="str">
        <f ca="1">IFERROR(__xludf.DUMFUNCTION("GOOGLETRANSLATE(A3065,""id"",""en"")"),"The gas station prepares wifi yaaakkk again after the package opens ")</f>
        <v xml:space="preserve">The gas station prepares wifi yaaakkk again after the package opens </v>
      </c>
    </row>
    <row r="2991" spans="1:2" x14ac:dyDescent="0.2">
      <c r="A2991" s="1" t="s">
        <v>4765</v>
      </c>
      <c r="B2991" s="1" t="str">
        <f ca="1">IFERROR(__xludf.DUMFUNCTION("GOOGLETRANSLATE(A3066,""id"",""en"")"),"Hello  option to add gopay funds")</f>
        <v>Hello  option to add gopay funds</v>
      </c>
    </row>
    <row r="2992" spans="1:2" x14ac:dyDescent="0.2">
      <c r="A2992" s="1" t="s">
        <v>4766</v>
      </c>
      <c r="B2992" s="1" t="str">
        <f ca="1">IFERROR(__xludf.DUMFUNCTION("GOOGLETRANSLATE(A3067,""id"",""en"")"),"Pombensin Beji, if it is applied to , it doesn't until Moemax is queuing up")</f>
        <v>Pombensin Beji, if it is applied to , it doesn't until Moemax is queuing up</v>
      </c>
    </row>
    <row r="2993" spans="1:2" x14ac:dyDescent="0.2">
      <c r="A2993" s="1" t="s">
        <v>4746</v>
      </c>
      <c r="B2993" s="1" t="str">
        <f ca="1">IFERROR(__xludf.DUMFUNCTION("GOOGLETRANSLATE(A3068,""id"",""en"")"),"Implementation of buying Pertalite Solar List  September")</f>
        <v>Implementation of buying Pertalite Solar List  September</v>
      </c>
    </row>
    <row r="2994" spans="1:2" x14ac:dyDescent="0.2">
      <c r="A2994" s="1" t="s">
        <v>4767</v>
      </c>
      <c r="B2994" s="1" t="str">
        <f ca="1">IFERROR(__xludf.DUMFUNCTION("GOOGLETRANSLATE(A3069,""id"",""en"")"),"Actor Kemal Pahlevi Representative of BBM Consumer Votes Buy Pertalaite Solar Using the  SPBU application")</f>
        <v>Actor Kemal Pahlevi Representative of BBM Consumer Votes Buy Pertalaite Solar Using the  SPBU application</v>
      </c>
    </row>
    <row r="2995" spans="1:2" x14ac:dyDescent="0.2">
      <c r="A2995" s="1" t="s">
        <v>2625</v>
      </c>
      <c r="B2995" s="1" t="str">
        <f ca="1">IFERROR(__xludf.DUMFUNCTION("GOOGLETRANSLATE(A3070,""id"",""en"")"),"buy subsidized fuel using  pks state to make people bother")</f>
        <v>buy subsidized fuel using  pks state to make people bother</v>
      </c>
    </row>
    <row r="2996" spans="1:2" x14ac:dyDescent="0.2">
      <c r="A2996" s="1" t="s">
        <v>4768</v>
      </c>
      <c r="B2996" s="1" t="str">
        <f ca="1">IFERROR(__xludf.DUMFUNCTION("GOOGLETRANSLATE(A3071,""id"",""en"")")," ends the app  for of course the or not to buy illegal acts of illegal acts.")</f>
        <v xml:space="preserve"> ends the app  for of course the or not to buy illegal acts of illegal acts.</v>
      </c>
    </row>
    <row r="2997" spans="1:2" x14ac:dyDescent="0.2">
      <c r="A2997" s="1" t="s">
        <v>172</v>
      </c>
      <c r="B2997" s="1" t="str">
        <f ca="1">IFERROR(__xludf.DUMFUNCTION("GOOGLETRANSLATE(A3072,""id"",""en"")"),"the area dares to speak")</f>
        <v>the area dares to speak</v>
      </c>
    </row>
    <row r="2998" spans="1:2" x14ac:dyDescent="0.2">
      <c r="A2998" s="1" t="s">
        <v>173</v>
      </c>
      <c r="B2998" s="1" t="str">
        <f ca="1">IFERROR(__xludf.DUMFUNCTION("GOOGLETRANSLATE(A3073,""id"",""en"")"),"who buy and sell QR code that registered the name QR Code if Kendara Installs Chip ID STNK KTP with chip id")</f>
        <v>who buy and sell QR code that registered the name QR Code if Kendara Installs Chip ID STNK KTP with chip id</v>
      </c>
    </row>
    <row r="2999" spans="1:2" x14ac:dyDescent="0.2">
      <c r="A2999" s="1" t="s">
        <v>4769</v>
      </c>
      <c r="B2999" s="1" t="str">
        <f ca="1">IFERROR(__xludf.DUMFUNCTION("GOOGLETRANSLATE(A3074,""id"",""en"")"),"if ghosting people easily delete wa yes  memory does not install the  application")</f>
        <v>if ghosting people easily delete wa yes  memory does not install the  application</v>
      </c>
    </row>
    <row r="3000" spans="1:2" x14ac:dyDescent="0.2">
      <c r="A3000" s="1" t="s">
        <v>4770</v>
      </c>
      <c r="B3000" s="1" t="str">
        <f ca="1">IFERROR(__xludf.DUMFUNCTION("GOOGLETRANSLATE(A3075,""id"",""en"")"),"wise shares of  Linkaja Indonesia internet provider bearish immediately rebound wisely to unplug the internet provider scan application using internet quota bambang")</f>
        <v>wise shares of  Linkaja Indonesia internet provider bearish immediately rebound wisely to unplug the internet provider scan application using internet quota bambang</v>
      </c>
    </row>
    <row r="3001" spans="1:2" x14ac:dyDescent="0.2">
      <c r="A3001" s="1" t="s">
        <v>4771</v>
      </c>
      <c r="B3001" s="1" t="str">
        <f ca="1">IFERROR(__xludf.DUMFUNCTION("GOOGLETRANSLATE(A3076,""id"",""en"")"),"smart phone list  complicated list online")</f>
        <v>smart phone list  complicated list online</v>
      </c>
    </row>
    <row r="3002" spans="1:2" x14ac:dyDescent="0.2">
      <c r="A3002" s="1" t="s">
        <v>4772</v>
      </c>
      <c r="B3002" s="1" t="str">
        <f ca="1">IFERROR(__xludf.DUMFUNCTION("GOOGLETRANSLATE(A3077,""id"",""en"")"),"List of rich people basic paying tax list basic tajir ")</f>
        <v xml:space="preserve">List of rich people basic paying tax list basic tajir </v>
      </c>
    </row>
    <row r="3003" spans="1:2" x14ac:dyDescent="0.2">
      <c r="A3003" s="1" t="s">
        <v>4773</v>
      </c>
      <c r="B3003" s="1" t="str">
        <f ca="1">IFERROR(__xludf.DUMFUNCTION("GOOGLETRANSLATE(A3078,""id"",""en"")"),"access to  application buy fuel subsidies on average internet access belongs to a wise smartphone")</f>
        <v>access to  application buy fuel subsidies on average internet access belongs to a wise smartphone</v>
      </c>
    </row>
    <row r="3004" spans="1:2" x14ac:dyDescent="0.2">
      <c r="A3004" s="1" t="s">
        <v>4774</v>
      </c>
      <c r="B3004" s="1" t="str">
        <f ca="1">IFERROR(__xludf.DUMFUNCTION("GOOGLETRANSLATE(A3079,""id"",""en"")"),"detikNetwork Buy BBM Pertalite Solar Subsidized Mandatory List of  Sites Late List")</f>
        <v>detikNetwork Buy BBM Pertalite Solar Subsidized Mandatory List of  Sites Late List</v>
      </c>
    </row>
    <row r="3005" spans="1:2" x14ac:dyDescent="0.2">
      <c r="A3005" s="1" t="s">
        <v>4775</v>
      </c>
      <c r="B3005" s="1" t="str">
        <f ca="1">IFERROR(__xludf.DUMFUNCTION("GOOGLETRANSLATE(A3080,""id"",""en"")"),"Pertalite SPBU Near Over the Application of  SPBU SKITAR GMN")</f>
        <v>Pertalite SPBU Near Over the Application of  SPBU SKITAR GMN</v>
      </c>
    </row>
    <row r="3006" spans="1:2" x14ac:dyDescent="0.2">
      <c r="A3006" s="1" t="s">
        <v>4776</v>
      </c>
      <c r="B3006" s="1" t="str">
        <f ca="1">IFERROR(__xludf.DUMFUNCTION("GOOGLETRANSLATE(A3081,""id"",""en"")"),"belongs to a motorcycle list  buy pertalite")</f>
        <v>belongs to a motorcycle list  buy pertalite</v>
      </c>
    </row>
    <row r="3007" spans="1:2" x14ac:dyDescent="0.2">
      <c r="A3007" s="1" t="s">
        <v>4777</v>
      </c>
      <c r="B3007" s="1" t="str">
        <f ca="1">IFERROR(__xludf.DUMFUNCTION("GOOGLETRANSLATE(A3082,""id"",""en"")"),"Come on the list of  websites")</f>
        <v>Come on the list of  websites</v>
      </c>
    </row>
    <row r="3008" spans="1:2" x14ac:dyDescent="0.2">
      <c r="A3008" s="1" t="s">
        <v>4778</v>
      </c>
      <c r="B3008" s="1" t="str">
        <f ca="1">IFERROR(__xludf.DUMFUNCTION("GOOGLETRANSLATE(A3083,""id"",""en"")"),"kamsute id  match stnk nopol idea you sell kite buying complicated easy")</f>
        <v>kamsute id  match stnk nopol idea you sell kite buying complicated easy</v>
      </c>
    </row>
    <row r="3009" spans="1:2" x14ac:dyDescent="0.2">
      <c r="A3009" s="1" t="s">
        <v>4470</v>
      </c>
      <c r="B3009" s="1" t="str">
        <f ca="1">IFERROR(__xludf.DUMFUNCTION("GOOGLETRANSLATE(A3084,""id"",""en"")"),"poor people smart phones buy lpg kg using  analysis")</f>
        <v>poor people smart phones buy lpg kg using  analysis</v>
      </c>
    </row>
    <row r="3010" spans="1:2" x14ac:dyDescent="0.2">
      <c r="A3010" s="1" t="s">
        <v>4779</v>
      </c>
      <c r="B3010" s="1" t="str">
        <f ca="1">IFERROR(__xludf.DUMFUNCTION("GOOGLETRANSLATE(A3085,""id"",""en"")"),"The rich if the basis of the car is the size of the Avanza car rich credit car Avanza cars how different use the rich NPWP does not use ")</f>
        <v xml:space="preserve">The rich if the basis of the car is the size of the Avanza car rich credit car Avanza cars how different use the rich NPWP does not use </v>
      </c>
    </row>
    <row r="3011" spans="1:2" x14ac:dyDescent="0.2">
      <c r="A3011" s="1" t="s">
        <v>4780</v>
      </c>
      <c r="B3011" s="1" t="str">
        <f ca="1">IFERROR(__xludf.DUMFUNCTION("GOOGLETRANSLATE(A3086,""id"",""en"")"),"Strange cooked in the chaotic area, it's already difficult for the people to use ")</f>
        <v xml:space="preserve">Strange cooked in the chaotic area, it's already difficult for the people to use </v>
      </c>
    </row>
    <row r="3012" spans="1:2" x14ac:dyDescent="0.2">
      <c r="A3012" s="1" t="s">
        <v>4781</v>
      </c>
      <c r="B3012" s="1" t="str">
        <f ca="1">IFERROR(__xludf.DUMFUNCTION("GOOGLETRANSLATE(A3087,""id"",""en"")"),"Donlot  Donlot JG Linkaja Bzzzzzzzz")</f>
        <v>Donlot  Donlot JG Linkaja Bzzzzzzzz</v>
      </c>
    </row>
    <row r="3013" spans="1:2" x14ac:dyDescent="0.2">
      <c r="A3013" s="1" t="s">
        <v>4782</v>
      </c>
      <c r="B3013" s="1" t="str">
        <f ca="1">IFERROR(__xludf.DUMFUNCTION("GOOGLETRANSLATE(A3088,""id"",""en"")")," please subsidized saras")</f>
        <v xml:space="preserve"> please subsidized saras</v>
      </c>
    </row>
    <row r="3014" spans="1:2" x14ac:dyDescent="0.2">
      <c r="A3014" s="1" t="s">
        <v>2481</v>
      </c>
      <c r="B3014" s="1" t="str">
        <f ca="1">IFERROR(__xludf.DUMFUNCTION("GOOGLETRANSLATE(A3089,""id"",""en"")"),"Old HP old school angkot driver difficult difficult ")</f>
        <v xml:space="preserve">Old HP old school angkot driver difficult difficult </v>
      </c>
    </row>
    <row r="3015" spans="1:2" x14ac:dyDescent="0.2">
      <c r="A3015" s="1" t="s">
        <v>2900</v>
      </c>
      <c r="B3015" s="1" t="str">
        <f ca="1">IFERROR(__xludf.DUMFUNCTION("GOOGLETRANSLATE(A3090,""id"",""en"")"),"Tomorrow  Laku Rich Rich Domination Using Pertalite")</f>
        <v>Tomorrow  Laku Rich Rich Domination Using Pertalite</v>
      </c>
    </row>
    <row r="3016" spans="1:2" x14ac:dyDescent="0.2">
      <c r="A3016" s="1" t="s">
        <v>4783</v>
      </c>
      <c r="B3016" s="1" t="str">
        <f ca="1">IFERROR(__xludf.DUMFUNCTION("GOOGLETRANSLATE(A3091,""id"",""en"")"),"PKS Criticism Buy Pertalite Using  Considering Consumer Temponational")</f>
        <v>PKS Criticism Buy Pertalite Using  Considering Consumer Temponational</v>
      </c>
    </row>
    <row r="3017" spans="1:2" x14ac:dyDescent="0.2">
      <c r="A3017" s="1" t="s">
        <v>4784</v>
      </c>
      <c r="B3017" s="1" t="str">
        <f ca="1">IFERROR(__xludf.DUMFUNCTION("GOOGLETRANSLATE(A3092,""id"",""en"")"),"Let's download the  application ready")</f>
        <v>Let's download the  application ready</v>
      </c>
    </row>
    <row r="3018" spans="1:2" x14ac:dyDescent="0.2">
      <c r="A3018" s="1" t="s">
        <v>4785</v>
      </c>
      <c r="B3018" s="1" t="str">
        <f ca="1">IFERROR(__xludf.DUMFUNCTION("GOOGLETRANSLATE(A3093,""id"",""en"")"),"bismillah  uninstall whatsapp")</f>
        <v>bismillah  uninstall whatsapp</v>
      </c>
    </row>
    <row r="3019" spans="1:2" x14ac:dyDescent="0.2">
      <c r="A3019" s="1" t="s">
        <v>4786</v>
      </c>
      <c r="B3019" s="1" t="str">
        <f ca="1">IFERROR(__xludf.DUMFUNCTION("GOOGLETRANSLATE(A3094,""id"",""en"")"),"Fun see the  web says luxury cars don't use subsidized diesel")</f>
        <v>Fun see the  web says luxury cars don't use subsidized diesel</v>
      </c>
    </row>
    <row r="3020" spans="1:2" x14ac:dyDescent="0.2">
      <c r="A3020" s="1" t="s">
        <v>4787</v>
      </c>
      <c r="B3020" s="1" t="str">
        <f ca="1">IFERROR(__xludf.DUMFUNCTION("GOOGLETRANSLATE(A3095,""id"",""en"")"),"if the title is just mending the context of the alien language context, the promotion of ")</f>
        <v xml:space="preserve">if the title is just mending the context of the alien language context, the promotion of </v>
      </c>
    </row>
    <row r="3021" spans="1:2" x14ac:dyDescent="0.2">
      <c r="A3021" s="1" t="s">
        <v>4788</v>
      </c>
      <c r="B3021" s="1" t="str">
        <f ca="1">IFERROR(__xludf.DUMFUNCTION("GOOGLETRANSLATE(A3096,""id"",""en"")"),"Buy BBM Buy Gas Kg must use the  application, but only a minimal socialization of hobbies is very confused by residents")</f>
        <v>Buy BBM Buy Gas Kg must use the  application, but only a minimal socialization of hobbies is very confused by residents</v>
      </c>
    </row>
    <row r="3022" spans="1:2" x14ac:dyDescent="0.2">
      <c r="A3022" s="1" t="s">
        <v>4789</v>
      </c>
      <c r="B3022" s="1" t="str">
        <f ca="1">IFERROR(__xludf.DUMFUNCTION("GOOGLETRANSLATE(A3097,""id"",""en"")"),"Honestly, just perfect from protecting the protected limit, the limit, the limits, etc. cm, the best we can have right now soup, which is okay using , too, waiting for it to wait brp")</f>
        <v>Honestly, just perfect from protecting the protected limit, the limit, the limits, etc. cm, the best we can have right now soup, which is okay using , too, waiting for it to wait brp</v>
      </c>
    </row>
    <row r="3023" spans="1:2" x14ac:dyDescent="0.2">
      <c r="A3023" s="1" t="s">
        <v>2900</v>
      </c>
      <c r="B3023" s="1" t="str">
        <f ca="1">IFERROR(__xludf.DUMFUNCTION("GOOGLETRANSLATE(A3098,""id"",""en"")"),"Tomorrow  Laku Rich Rich Domination Using Pertalite")</f>
        <v>Tomorrow  Laku Rich Rich Domination Using Pertalite</v>
      </c>
    </row>
    <row r="3024" spans="1:2" x14ac:dyDescent="0.2">
      <c r="A3024" s="1" t="s">
        <v>4786</v>
      </c>
      <c r="B3024" s="1" t="str">
        <f ca="1">IFERROR(__xludf.DUMFUNCTION("GOOGLETRANSLATE(A3099,""id"",""en"")"),"Fun see the  web says luxury cars don't use subsidized diesel")</f>
        <v>Fun see the  web says luxury cars don't use subsidized diesel</v>
      </c>
    </row>
    <row r="3025" spans="1:2" x14ac:dyDescent="0.2">
      <c r="A3025" s="1" t="s">
        <v>4790</v>
      </c>
      <c r="B3025" s="1" t="str">
        <f ca="1">IFERROR(__xludf.DUMFUNCTION("GOOGLETRANSLATE(A3100,""id"",""en"")")," bought pertalite")</f>
        <v xml:space="preserve"> bought pertalite</v>
      </c>
    </row>
    <row r="3026" spans="1:2" x14ac:dyDescent="0.2">
      <c r="A3026" s="1" t="s">
        <v>4791</v>
      </c>
      <c r="B3026" s="1" t="str">
        <f ca="1">IFERROR(__xludf.DUMFUNCTION("GOOGLETRANSLATE(A3101,""id"",""en"")"),"duh buying gas kg must list  applications")</f>
        <v>duh buying gas kg must list  applications</v>
      </c>
    </row>
    <row r="3027" spans="1:2" x14ac:dyDescent="0.2">
      <c r="A3027" s="1" t="s">
        <v>4792</v>
      </c>
      <c r="B3027" s="1" t="str">
        <f ca="1">IFERROR(__xludf.DUMFUNCTION("GOOGLETRANSLATE(A3102,""id"",""en"")"),"buy lpg kg list ")</f>
        <v xml:space="preserve">buy lpg kg list </v>
      </c>
    </row>
    <row r="3028" spans="1:2" x14ac:dyDescent="0.2">
      <c r="A3028" s="1" t="s">
        <v>3063</v>
      </c>
      <c r="B3028" s="1" t="str">
        <f ca="1">IFERROR(__xludf.DUMFUNCTION("GOOGLETRANSLATE(A3103,""id"",""en"")"),"Pertalite Solar  People Buy Melon Gas Using  Application")</f>
        <v>Pertalite Solar  People Buy Melon Gas Using  Application</v>
      </c>
    </row>
    <row r="3029" spans="1:2" x14ac:dyDescent="0.2">
      <c r="A3029" s="1" t="s">
        <v>4793</v>
      </c>
      <c r="B3029" s="1" t="str">
        <f ca="1">IFERROR(__xludf.DUMFUNCTION("GOOGLETRANSLATE(A3104,""id"",""en"")"),"Use the  application number KTP STNK Free some STNK numbers")</f>
        <v>Use the  application number KTP STNK Free some STNK numbers</v>
      </c>
    </row>
    <row r="3030" spans="1:2" x14ac:dyDescent="0.2">
      <c r="A3030" s="1" t="s">
        <v>4794</v>
      </c>
      <c r="B3030" s="1" t="str">
        <f ca="1">IFERROR(__xludf.DUMFUNCTION("GOOGLETRANSLATE(A3105,""id"",""en"")"),"The feeling of buying Pertalite  using  is quite emotional hahaha")</f>
        <v>The feeling of buying Pertalite  using  is quite emotional hahaha</v>
      </c>
    </row>
    <row r="3031" spans="1:2" x14ac:dyDescent="0.2">
      <c r="A3031" s="1" t="s">
        <v>174</v>
      </c>
      <c r="B3031" s="1" t="str">
        <f ca="1">IFERROR(__xludf.DUMFUNCTION("GOOGLETRANSLATE(A3106,""id"",""en"")"),"Ati Konoha State Anti -Criticism Later Going to Prison Wonder People Working")</f>
        <v>Ati Konoha State Anti -Criticism Later Going to Prison Wonder People Working</v>
      </c>
    </row>
    <row r="3032" spans="1:2" x14ac:dyDescent="0.2">
      <c r="A3032" s="1" t="s">
        <v>4795</v>
      </c>
      <c r="B3032" s="1" t="str">
        <f ca="1">IFERROR(__xludf.DUMFUNCTION("GOOGLETRANSLATE(A3107,""id"",""en"")"),"Buy gasoline pay toll tolls et al Linkaja and voila they re realizing their company vision slow but sure slow slow process buying mandatory gasoline  wrong payment link Linkaja Card Cool debit card")</f>
        <v>Buy gasoline pay toll tolls et al Linkaja and voila they re realizing their company vision slow but sure slow slow process buying mandatory gasoline  wrong payment link Linkaja Card Cool debit card</v>
      </c>
    </row>
    <row r="3033" spans="1:2" x14ac:dyDescent="0.2">
      <c r="A3033" s="1" t="s">
        <v>4796</v>
      </c>
      <c r="B3033" s="1" t="str">
        <f ca="1">IFERROR(__xludf.DUMFUNCTION("GOOGLETRANSLATE(A3108,""id"",""en"")"),"Install  Gala Young  Memory Full")</f>
        <v>Install  Gala Young  Memory Full</v>
      </c>
    </row>
    <row r="3034" spans="1:2" x14ac:dyDescent="0.2">
      <c r="A3034" s="1" t="s">
        <v>175</v>
      </c>
      <c r="B3034" s="1" t="str">
        <f ca="1">IFERROR(__xludf.DUMFUNCTION("GOOGLETRANSLATE(A3109,""id"",""en"")"),"the order has been forced to be forced to be the basic people's basic people")</f>
        <v>the order has been forced to be forced to be the basic people's basic people</v>
      </c>
    </row>
    <row r="3035" spans="1:2" x14ac:dyDescent="0.2">
      <c r="A3035" s="1" t="s">
        <v>4797</v>
      </c>
      <c r="B3035" s="1" t="str">
        <f ca="1">IFERROR(__xludf.DUMFUNCTION("GOOGLETRANSLATE(A3110,""id"",""en"")"),"the motorbike the credit is a motorbike that is aware of the collector who is a motorcycle dead, the list of ")</f>
        <v xml:space="preserve">the motorbike the credit is a motorbike that is aware of the collector who is a motorcycle dead, the list of </v>
      </c>
    </row>
    <row r="3036" spans="1:2" x14ac:dyDescent="0.2">
      <c r="A3036" s="1" t="s">
        <v>4798</v>
      </c>
      <c r="B3036" s="1" t="str">
        <f ca="1">IFERROR(__xludf.DUMFUNCTION("GOOGLETRANSLATE(A3111,""id"",""en"")"),"Buy LPG  Sasar Poor citizens WOII MU Poor citizens Android Buy Difficult to Difficult Money Credit Takes Taken")</f>
        <v>Buy LPG  Sasar Poor citizens WOII MU Poor citizens Android Buy Difficult to Difficult Money Credit Takes Taken</v>
      </c>
    </row>
    <row r="3037" spans="1:2" x14ac:dyDescent="0.2">
      <c r="A3037" s="1" t="s">
        <v>176</v>
      </c>
      <c r="B3037" s="1" t="str">
        <f ca="1">IFERROR(__xludf.DUMFUNCTION("GOOGLETRANSLATE(A3112,""id"",""en"")"),"DPR RI Commission VI member Rudi Hartono wisely wise")</f>
        <v>DPR RI Commission VI member Rudi Hartono wisely wise</v>
      </c>
    </row>
    <row r="3038" spans="1:2" x14ac:dyDescent="0.2">
      <c r="A3038" s="1" t="s">
        <v>4799</v>
      </c>
      <c r="B3038" s="1" t="str">
        <f ca="1">IFERROR(__xludf.DUMFUNCTION("GOOGLETRANSLATE(A3113,""id"",""en"")"),"betuuullll btw  note the STNK number if the STNK credit bike then if you buy the second vehicle registration, the name of the Rempong list of ")</f>
        <v xml:space="preserve">betuuullll btw  note the STNK number if the STNK credit bike then if you buy the second vehicle registration, the name of the Rempong list of </v>
      </c>
    </row>
    <row r="3039" spans="1:2" x14ac:dyDescent="0.2">
      <c r="A3039" s="1" t="s">
        <v>4800</v>
      </c>
      <c r="B3039" s="1" t="str">
        <f ca="1">IFERROR(__xludf.DUMFUNCTION("GOOGLETRANSLATE(A3114,""id"",""en"")"),"complicated using  better choose  naevis we love you")</f>
        <v>complicated using  better choose  naevis we love you</v>
      </c>
    </row>
    <row r="3040" spans="1:2" x14ac:dyDescent="0.2">
      <c r="A3040" s="1" t="s">
        <v>177</v>
      </c>
      <c r="B3040" s="1" t="str">
        <f ca="1">IFERROR(__xludf.DUMFUNCTION("GOOGLETRANSLATE(A3115,""id"",""en"")"),"trial city of the regency of the distribution of West Sumatra Province Kalimant")</f>
        <v>trial city of the regency of the distribution of West Sumatra Province Kalimant</v>
      </c>
    </row>
    <row r="3041" spans="1:2" x14ac:dyDescent="0.2">
      <c r="A3041" s="1" t="s">
        <v>178</v>
      </c>
      <c r="B3041" s="1" t="str">
        <f ca="1">IFERROR(__xludf.DUMFUNCTION("GOOGLETRANSLATE(A3116,""id"",""en"")"),"The contents of the Pertalite subdition solar are of course the behavior of paying the method")</f>
        <v>The contents of the Pertalite subdition solar are of course the behavior of paying the method</v>
      </c>
    </row>
    <row r="3042" spans="1:2" x14ac:dyDescent="0.2">
      <c r="A3042" s="1" t="s">
        <v>4801</v>
      </c>
      <c r="B3042" s="1" t="str">
        <f ca="1">IFERROR(__xludf.DUMFUNCTION("GOOGLETRANSLATE(A3117,""id"",""en"")")," application requirements for buying a subsidized solar pertalite")</f>
        <v xml:space="preserve"> application requirements for buying a subsidized solar pertalite</v>
      </c>
    </row>
    <row r="3043" spans="1:2" x14ac:dyDescent="0.2">
      <c r="A3043" s="1" t="s">
        <v>4802</v>
      </c>
      <c r="B3043" s="1" t="str">
        <f ca="1">IFERROR(__xludf.DUMFUNCTION("GOOGLETRANSLATE(A3118,""id"",""en"")"),"not with a protected application care for  to disappear")</f>
        <v>not with a protected application care for  to disappear</v>
      </c>
    </row>
    <row r="3044" spans="1:2" x14ac:dyDescent="0.2">
      <c r="A3044" s="1" t="s">
        <v>4803</v>
      </c>
      <c r="B3044" s="1" t="str">
        <f ca="1">IFERROR(__xludf.DUMFUNCTION("GOOGLETRANSLATE(A3119,""id"",""en"")"),"Buy gasoline gasoline using  apk that bought gasoline ecer using pertamini apk")</f>
        <v>Buy gasoline gasoline using  apk that bought gasoline ecer using pertamini apk</v>
      </c>
    </row>
    <row r="3045" spans="1:2" x14ac:dyDescent="0.2">
      <c r="A3045" s="1" t="s">
        <v>4804</v>
      </c>
      <c r="B3045" s="1" t="str">
        <f ca="1">IFERROR(__xludf.DUMFUNCTION("GOOGLETRANSLATE(A3120,""id"",""en"")"),"Application  The Solar Bbm Pertalite BBM Salur Mechanism The role of the community layer on the problem of  pertalite  solar solarsubsidi")</f>
        <v>Application  The Solar Bbm Pertalite BBM Salur Mechanism The role of the community layer on the problem of  pertalite  solar solarsubsidi</v>
      </c>
    </row>
    <row r="3046" spans="1:2" x14ac:dyDescent="0.2">
      <c r="A3046" s="1" t="s">
        <v>4805</v>
      </c>
      <c r="B3046" s="1" t="str">
        <f ca="1">IFERROR(__xludf.DUMFUNCTION("GOOGLETRANSLATE(A3121,""id"",""en"")"),"hah I swear I don't know the function of using the GPP app already uses  the requirements for buying pertalite practical tracking the month of fuel consumption after  is not stupid to make it set for the barcode scan")</f>
        <v>hah I swear I don't know the function of using the GPP app already uses  the requirements for buying pertalite practical tracking the month of fuel consumption after  is not stupid to make it set for the barcode scan</v>
      </c>
    </row>
    <row r="3047" spans="1:2" x14ac:dyDescent="0.2">
      <c r="A3047" s="1" t="s">
        <v>4806</v>
      </c>
      <c r="B3047" s="1" t="str">
        <f ca="1">IFERROR(__xludf.DUMFUNCTION("GOOGLETRANSLATE(A3122,""id"",""en"")"),"Download  Terms of Buying a Subsidized Solar Pertalite")</f>
        <v>Download  Terms of Buying a Subsidized Solar Pertalite</v>
      </c>
    </row>
    <row r="3048" spans="1:2" x14ac:dyDescent="0.2">
      <c r="A3048" s="1" t="s">
        <v>4807</v>
      </c>
      <c r="B3048" s="1" t="str">
        <f ca="1">IFERROR(__xludf.DUMFUNCTION("GOOGLETRANSLATE(A3123,""id"",""en"")"),"It's better to just delete the Solar Pertalite subsidy in the process of queuing BBM, showing the  application, adding to the queuing of BBM, SPBU Task Understanding  Applications")</f>
        <v>It's better to just delete the Solar Pertalite subsidy in the process of queuing BBM, showing the  application, adding to the queuing of BBM, SPBU Task Understanding  Applications</v>
      </c>
    </row>
    <row r="3049" spans="1:2" x14ac:dyDescent="0.2">
      <c r="A3049" s="1" t="s">
        <v>4808</v>
      </c>
      <c r="B3049" s="1" t="str">
        <f ca="1">IFERROR(__xludf.DUMFUNCTION("GOOGLETRANSLATE(A3124,""id"",""en"")")," application clay data belonging to the type of vehicle vehicle list of problems with motorcycle manufacturers like fuel bases using pertalite if the contents of Pertamax yo leaked bro")</f>
        <v xml:space="preserve"> application clay data belonging to the type of vehicle vehicle list of problems with motorcycle manufacturers like fuel bases using pertalite if the contents of Pertamax yo leaked bro</v>
      </c>
    </row>
    <row r="3050" spans="1:2" x14ac:dyDescent="0.2">
      <c r="A3050" s="1" t="s">
        <v>4809</v>
      </c>
      <c r="B3050" s="1" t="str">
        <f ca="1">IFERROR(__xludf.DUMFUNCTION("GOOGLETRANSLATE(A3125,""id"",""en"")"),"the memory of the cellphone is full of confusion to delete the application so you can download  wkwk")</f>
        <v>the memory of the cellphone is full of confusion to delete the application so you can download  wkwk</v>
      </c>
    </row>
    <row r="3051" spans="1:2" x14ac:dyDescent="0.2">
      <c r="A3051" s="1" t="s">
        <v>2481</v>
      </c>
      <c r="B3051" s="1" t="str">
        <f ca="1">IFERROR(__xludf.DUMFUNCTION("GOOGLETRANSLATE(A3126,""id"",""en"")"),"Old HP old school angkot driver difficult difficult ")</f>
        <v xml:space="preserve">Old HP old school angkot driver difficult difficult </v>
      </c>
    </row>
    <row r="3052" spans="1:2" x14ac:dyDescent="0.2">
      <c r="A3052" s="1" t="s">
        <v>4810</v>
      </c>
      <c r="B3052" s="1" t="str">
        <f ca="1">IFERROR(__xludf.DUMFUNCTION("GOOGLETRANSLATE(A3127,""id"",""en"")"),"Gaspol Download the  Bestie Application")</f>
        <v>Gaspol Download the  Bestie Application</v>
      </c>
    </row>
    <row r="3053" spans="1:2" x14ac:dyDescent="0.2">
      <c r="A3053" s="1" t="s">
        <v>4811</v>
      </c>
      <c r="B3053" s="1" t="str">
        <f ca="1">IFERROR(__xludf.DUMFUNCTION("GOOGLETRANSLATE(A3128,""id"",""en"")")," application requirements for buying fuel subsidies in the type of solar pertalite July")</f>
        <v xml:space="preserve"> application requirements for buying fuel subsidies in the type of solar pertalite July</v>
      </c>
    </row>
    <row r="3054" spans="1:2" x14ac:dyDescent="0.2">
      <c r="A3054" s="1" t="s">
        <v>4812</v>
      </c>
      <c r="B3054" s="1" t="str">
        <f ca="1">IFERROR(__xludf.DUMFUNCTION("GOOGLETRANSLATE(A3129,""id"",""en"")"),"Install   Link just the contents of 's balance Pay Make  Sorry, bro, we don't have the barcodes, so I take money atm, the question is ready for .")</f>
        <v>Install   Link just the contents of 's balance Pay Make  Sorry, bro, we don't have the barcodes, so I take money atm, the question is ready for .</v>
      </c>
    </row>
    <row r="3055" spans="1:2" x14ac:dyDescent="0.2">
      <c r="A3055" s="1" t="s">
        <v>4813</v>
      </c>
      <c r="B3055" s="1" t="str">
        <f ca="1">IFERROR(__xludf.DUMFUNCTION("GOOGLETRANSLATE(A3130,""id"",""en"")")," function if the gas station still pays cash gie ")</f>
        <v xml:space="preserve"> function if the gas station still pays cash gie </v>
      </c>
    </row>
    <row r="3056" spans="1:2" x14ac:dyDescent="0.2">
      <c r="A3056" s="1" t="s">
        <v>179</v>
      </c>
      <c r="B3056" s="1" t="str">
        <f ca="1">IFERROR(__xludf.DUMFUNCTION("GOOGLETRANSLATE(A3131,""id"",""en"")"),"State's shackle technology is fair, it's easy for the people to bother the era of simple technology.")</f>
        <v>State's shackle technology is fair, it's easy for the people to bother the era of simple technology.</v>
      </c>
    </row>
    <row r="3057" spans="1:2" x14ac:dyDescent="0.2">
      <c r="A3057" s="1" t="s">
        <v>4814</v>
      </c>
      <c r="B3057" s="1" t="str">
        <f ca="1">IFERROR(__xludf.DUMFUNCTION("GOOGLETRANSLATE(A3132,""id"",""en"")"),"Hajar Stars, let's just fill in gasoline, you have to download netizens, so that until the regime is complicated, Arabsaudi  BUMN Yuk Gassskeun Playstore")</f>
        <v>Hajar Stars, let's just fill in gasoline, you have to download netizens, so that until the regime is complicated, Arabsaudi  BUMN Yuk Gassskeun Playstore</v>
      </c>
    </row>
    <row r="3058" spans="1:2" x14ac:dyDescent="0.2">
      <c r="A3058" s="1" t="s">
        <v>4815</v>
      </c>
      <c r="B3058" s="1" t="str">
        <f ca="1">IFERROR(__xludf.DUMFUNCTION("GOOGLETRANSLATE(A3133,""id"",""en"")"),"  Patra Niaga must buy BBM subsidized  application")</f>
        <v xml:space="preserve">  Patra Niaga must buy BBM subsidized  application</v>
      </c>
    </row>
    <row r="3059" spans="1:2" x14ac:dyDescent="0.2">
      <c r="A3059" s="1" t="s">
        <v>4816</v>
      </c>
      <c r="B3059" s="1" t="str">
        <f ca="1">IFERROR(__xludf.DUMFUNCTION("GOOGLETRANSLATE(A3134,""id"",""en"")")," Pedulilidungi")</f>
        <v xml:space="preserve"> Pedulilidungi</v>
      </c>
    </row>
    <row r="3060" spans="1:2" x14ac:dyDescent="0.2">
      <c r="A3060" s="1" t="s">
        <v>4817</v>
      </c>
      <c r="B3060" s="1" t="str">
        <f ca="1">IFERROR(__xludf.DUMFUNCTION("GOOGLETRANSLATE(A3135,""id"",""en"")"),"Implementation of the community must access the  website application mobile phone buy a wise pertalite solar reauti arafah putin zelensky")</f>
        <v>Implementation of the community must access the  website application mobile phone buy a wise pertalite solar reauti arafah putin zelensky</v>
      </c>
    </row>
    <row r="3061" spans="1:2" x14ac:dyDescent="0.2">
      <c r="A3061" s="1" t="s">
        <v>4818</v>
      </c>
      <c r="B3061" s="1" t="str">
        <f ca="1">IFERROR(__xludf.DUMFUNCTION("GOOGLETRANSLATE(A3136,""id"",""en"")"),"let's download ")</f>
        <v xml:space="preserve">let's download </v>
      </c>
    </row>
    <row r="3062" spans="1:2" x14ac:dyDescent="0.2">
      <c r="A3062" s="1" t="s">
        <v>4792</v>
      </c>
      <c r="B3062" s="1" t="str">
        <f ca="1">IFERROR(__xludf.DUMFUNCTION("GOOGLETRANSLATE(A3137,""id"",""en"")"),"buy lpg kg list ")</f>
        <v xml:space="preserve">buy lpg kg list </v>
      </c>
    </row>
    <row r="3063" spans="1:2" x14ac:dyDescent="0.2">
      <c r="A3063" s="1" t="s">
        <v>4819</v>
      </c>
      <c r="B3063" s="1" t="str">
        <f ca="1">IFERROR(__xludf.DUMFUNCTION("GOOGLETRANSLATE(A3138,""id"",""en"")")," Definitely Distribution of BBM LPG Sasar ")</f>
        <v xml:space="preserve"> Definitely Distribution of BBM LPG Sasar </v>
      </c>
    </row>
    <row r="3064" spans="1:2" x14ac:dyDescent="0.2">
      <c r="A3064" s="1" t="s">
        <v>4820</v>
      </c>
      <c r="B3064" s="1" t="str">
        <f ca="1">IFERROR(__xludf.DUMFUNCTION("GOOGLETRANSLATE(A3139,""id"",""en"")"),"using  cellphone can try to check angry")</f>
        <v>using  cellphone can try to check angry</v>
      </c>
    </row>
    <row r="3065" spans="1:2" x14ac:dyDescent="0.2">
      <c r="A3065" s="1" t="s">
        <v>180</v>
      </c>
      <c r="B3065" s="1" t="str">
        <f ca="1">IFERROR(__xludf.DUMFUNCTION("GOOGLETRANSLATE(A3140,""id"",""en"")"),"go to Pertalite spread according to Pertalite consumers")</f>
        <v>go to Pertalite spread according to Pertalite consumers</v>
      </c>
    </row>
    <row r="3066" spans="1:2" x14ac:dyDescent="0.2">
      <c r="A3066" s="1" t="s">
        <v>4821</v>
      </c>
      <c r="B3066" s="1" t="str">
        <f ca="1">IFERROR(__xludf.DUMFUNCTION("GOOGLETRANSLATE(A3141,""id"",""en"")")," gas stations must be free wifi, just times the one who bought a data package after  pertalite gas station")</f>
        <v xml:space="preserve"> gas stations must be free wifi, just times the one who bought a data package after  pertalite gas station</v>
      </c>
    </row>
    <row r="3067" spans="1:2" x14ac:dyDescent="0.2">
      <c r="A3067" s="1" t="s">
        <v>4822</v>
      </c>
      <c r="B3067" s="1" t="str">
        <f ca="1">IFERROR(__xludf.DUMFUNCTION("GOOGLETRANSLATE(A3142,""id"",""en"")"),"Yesterday Pertalite Auto Rare Grgr wise regis  July")</f>
        <v>Yesterday Pertalite Auto Rare Grgr wise regis  July</v>
      </c>
    </row>
    <row r="3068" spans="1:2" x14ac:dyDescent="0.2">
      <c r="A3068" s="1" t="s">
        <v>4823</v>
      </c>
      <c r="B3068" s="1" t="str">
        <f ca="1">IFERROR(__xludf.DUMFUNCTION("GOOGLETRANSLATE(A3143,""id"",""en"")"),"List of  Kendara Car Wheel Rental Information")</f>
        <v>List of  Kendara Car Wheel Rental Information</v>
      </c>
    </row>
    <row r="3069" spans="1:2" x14ac:dyDescent="0.2">
      <c r="A3069" s="1" t="s">
        <v>4824</v>
      </c>
      <c r="B3069" s="1" t="str">
        <f ca="1">IFERROR(__xludf.DUMFUNCTION("GOOGLETRANSLATE(A3144,""id"",""en"")"),"Ngawik it Shell uses ")</f>
        <v xml:space="preserve">Ngawik it Shell uses </v>
      </c>
    </row>
    <row r="3070" spans="1:2" x14ac:dyDescent="0.2">
      <c r="A3070" s="1" t="s">
        <v>4825</v>
      </c>
      <c r="B3070" s="1" t="str">
        <f ca="1">IFERROR(__xludf.DUMFUNCTION("GOOGLETRANSLATE(A3145,""id"",""en"")"),"Types of Kendara Mandatory Palai QR Code  ")</f>
        <v xml:space="preserve">Types of Kendara Mandatory Palai QR Code  </v>
      </c>
    </row>
    <row r="3071" spans="1:2" x14ac:dyDescent="0.2">
      <c r="A3071" s="1" t="s">
        <v>4826</v>
      </c>
      <c r="B3071" s="1" t="str">
        <f ca="1">IFERROR(__xludf.DUMFUNCTION("GOOGLETRANSLATE(A3146,""id"",""en"")"),"Buy bulk oil with emotion using protected peduli buy pertalite using ")</f>
        <v xml:space="preserve">Buy bulk oil with emotion using protected peduli buy pertalite using </v>
      </c>
    </row>
    <row r="3072" spans="1:2" x14ac:dyDescent="0.2">
      <c r="A3072" s="1" t="s">
        <v>3966</v>
      </c>
      <c r="B3072" s="1" t="str">
        <f ca="1">IFERROR(__xludf.DUMFUNCTION("GOOGLETRANSLATE(A3147,""id"",""en"")"),"buy subsidized fuel using  rudi hartono difficult people")</f>
        <v>buy subsidized fuel using  rudi hartono difficult people</v>
      </c>
    </row>
    <row r="3073" spans="1:2" x14ac:dyDescent="0.2">
      <c r="A3073" s="1" t="s">
        <v>4827</v>
      </c>
      <c r="B3073" s="1" t="str">
        <f ca="1">IFERROR(__xludf.DUMFUNCTION("GOOGLETRANSLATE(A3148,""id"",""en"")"),"Salur subsidized LPG Kg  March Application Pasuk Stage")</f>
        <v>Salur subsidized LPG Kg  March Application Pasuk Stage</v>
      </c>
    </row>
    <row r="3074" spans="1:2" x14ac:dyDescent="0.2">
      <c r="A3074" s="1" t="s">
        <v>4828</v>
      </c>
      <c r="B3074" s="1" t="str">
        <f ca="1">IFERROR(__xludf.DUMFUNCTION("GOOGLETRANSLATE(A3149,""id"",""en"")")," who infosite community service")</f>
        <v xml:space="preserve"> who infosite community service</v>
      </c>
    </row>
    <row r="3075" spans="1:2" x14ac:dyDescent="0.2">
      <c r="A3075" s="1" t="s">
        <v>4829</v>
      </c>
      <c r="B3075" s="1" t="str">
        <f ca="1">IFERROR(__xludf.DUMFUNCTION("GOOGLETRANSLATE(A3150,""id"",""en"")"),"Please calm down a sweet sitting for a while forbidding for the gas station's cellphone, definitely download  so that the money is added to pay the state debt")</f>
        <v>Please calm down a sweet sitting for a while forbidding for the gas station's cellphone, definitely download  so that the money is added to pay the state debt</v>
      </c>
    </row>
    <row r="3076" spans="1:2" x14ac:dyDescent="0.2">
      <c r="A3076" s="1" t="s">
        <v>4830</v>
      </c>
      <c r="B3076" s="1" t="str">
        <f ca="1">IFERROR(__xludf.DUMFUNCTION("GOOGLETRANSLATE(A3151,""id"",""en"")"),"complicated cooking oil using the qr pertalite code using  hadeh")</f>
        <v>complicated cooking oil using the qr pertalite code using  hadeh</v>
      </c>
    </row>
    <row r="3077" spans="1:2" x14ac:dyDescent="0.2">
      <c r="A3077" s="1" t="s">
        <v>181</v>
      </c>
      <c r="B3077" s="1" t="str">
        <f ca="1">IFERROR(__xludf.DUMFUNCTION("GOOGLETRANSLATE(A3152,""id"",""en"")"),"the motor is not tightened")</f>
        <v>the motor is not tightened</v>
      </c>
    </row>
    <row r="3078" spans="1:2" x14ac:dyDescent="0.2">
      <c r="A3078" s="1" t="s">
        <v>4831</v>
      </c>
      <c r="B3078" s="1" t="str">
        <f ca="1">IFERROR(__xludf.DUMFUNCTION("GOOGLETRANSLATE(A3153,""id"",""en"")"),"the smartphone is not a smartphone, please queue up the counter near the money that doesn't buy a smartphone owed hi mimin that is easy, the people are full, need ")</f>
        <v xml:space="preserve">the smartphone is not a smartphone, please queue up the counter near the money that doesn't buy a smartphone owed hi mimin that is easy, the people are full, need </v>
      </c>
    </row>
    <row r="3079" spans="1:2" x14ac:dyDescent="0.2">
      <c r="A3079" s="1" t="s">
        <v>4832</v>
      </c>
      <c r="B3079" s="1" t="str">
        <f ca="1">IFERROR(__xludf.DUMFUNCTION("GOOGLETRANSLATE(A3154,""id"",""en"")"),"July  Open the list of  regional trial sites suitable for entry data for QR Code Economic Kompas")</f>
        <v>July  Open the list of  regional trial sites suitable for entry data for QR Code Economic Kompas</v>
      </c>
    </row>
    <row r="3080" spans="1:2" x14ac:dyDescent="0.2">
      <c r="A3080" s="1" t="s">
        <v>4833</v>
      </c>
      <c r="B3080" s="1" t="str">
        <f ca="1">IFERROR(__xludf.DUMFUNCTION("GOOGLETRANSLATE(A3155,""id"",""en"")"),"bsk kurleb Sunday and list the barcode is not hard to use  apk")</f>
        <v>bsk kurleb Sunday and list the barcode is not hard to use  apk</v>
      </c>
    </row>
    <row r="3081" spans="1:2" x14ac:dyDescent="0.2">
      <c r="A3081" s="1" t="s">
        <v>4834</v>
      </c>
      <c r="B3081" s="1" t="str">
        <f ca="1">IFERROR(__xludf.DUMFUNCTION("GOOGLETRANSLATE(A3156,""id"",""en"")"),"Netizens Legal Amp protest  wisely giving a rating of stars nyungsep like ")</f>
        <v xml:space="preserve">Netizens Legal Amp protest  wisely giving a rating of stars nyungsep like </v>
      </c>
    </row>
    <row r="3082" spans="1:2" x14ac:dyDescent="0.2">
      <c r="A3082" s="1" t="s">
        <v>4835</v>
      </c>
      <c r="B3082" s="1" t="str">
        <f ca="1">IFERROR(__xludf.DUMFUNCTION("GOOGLETRANSLATE(A3157,""id"",""en"")"),"wksksk view if you really make ")</f>
        <v xml:space="preserve">wksksk view if you really make </v>
      </c>
    </row>
    <row r="3083" spans="1:2" x14ac:dyDescent="0.2">
      <c r="A3083" s="1" t="s">
        <v>4783</v>
      </c>
      <c r="B3083" s="1" t="str">
        <f ca="1">IFERROR(__xludf.DUMFUNCTION("GOOGLETRANSLATE(A3158,""id"",""en"")"),"PKS Criticism Buy Pertalite Using  Considering Consumer Temponational")</f>
        <v>PKS Criticism Buy Pertalite Using  Considering Consumer Temponational</v>
      </c>
    </row>
    <row r="3084" spans="1:2" x14ac:dyDescent="0.2">
      <c r="A3084" s="1" t="s">
        <v>4836</v>
      </c>
      <c r="B3084" s="1" t="str">
        <f ca="1">IFERROR(__xludf.DUMFUNCTION("GOOGLETRANSLATE(A3159,""id"",""en"")"),"Forced Uninstal Instagram Install ")</f>
        <v xml:space="preserve">Forced Uninstal Instagram Install </v>
      </c>
    </row>
    <row r="3085" spans="1:2" x14ac:dyDescent="0.2">
      <c r="A3085" s="1" t="s">
        <v>182</v>
      </c>
      <c r="B3085" s="1" t="str">
        <f ca="1">IFERROR(__xludf.DUMFUNCTION("GOOGLETRANSLATE(A3160,""id"",""en"")"),"Motorcycles don't do the web subsidies that wjb dftr kdraan wheel no barcode dscan edc gas station trdfr")</f>
        <v>Motorcycles don't do the web subsidies that wjb dftr kdraan wheel no barcode dscan edc gas station trdfr</v>
      </c>
    </row>
    <row r="3086" spans="1:2" x14ac:dyDescent="0.2">
      <c r="A3086" s="1" t="s">
        <v>4837</v>
      </c>
      <c r="B3086" s="1" t="str">
        <f ca="1">IFERROR(__xludf.DUMFUNCTION("GOOGLETRANSLATE(A3161,""id"",""en"")")," MOTOR MOTOR CRITERIA")</f>
        <v xml:space="preserve"> MOTOR MOTOR CRITERIA</v>
      </c>
    </row>
    <row r="3087" spans="1:2" x14ac:dyDescent="0.2">
      <c r="A3087" s="1" t="s">
        <v>4838</v>
      </c>
      <c r="B3087" s="1" t="str">
        <f ca="1">IFERROR(__xludf.DUMFUNCTION("GOOGLETRANSLATE(A3162,""id"",""en"")"),"Portrait due to Indonesian orders to be able to bother the people just refuse to buy a solar  pertalite reject buying cooking oil protected bass nik")</f>
        <v>Portrait due to Indonesian orders to be able to bother the people just refuse to buy a solar  pertalite reject buying cooking oil protected bass nik</v>
      </c>
    </row>
    <row r="3088" spans="1:2" x14ac:dyDescent="0.2">
      <c r="A3088" s="1" t="s">
        <v>4839</v>
      </c>
      <c r="B3088" s="1" t="str">
        <f ca="1">IFERROR(__xludf.DUMFUNCTION("GOOGLETRANSLATE(A3163,""id"",""en"")"),"enter the gas station toilet list  using the application ga")</f>
        <v>enter the gas station toilet list  using the application ga</v>
      </c>
    </row>
    <row r="3089" spans="1:2" x14ac:dyDescent="0.2">
      <c r="A3089" s="1" t="s">
        <v>4840</v>
      </c>
      <c r="B3089" s="1" t="str">
        <f ca="1">IFERROR(__xludf.DUMFUNCTION("GOOGLETRANSLATE(A3164,""id"",""en"")"),"July  Open List of 's Website Know Benefits")</f>
        <v>July  Open List of 's Website Know Benefits</v>
      </c>
    </row>
    <row r="3090" spans="1:2" x14ac:dyDescent="0.2">
      <c r="A3090" s="1" t="s">
        <v>4841</v>
      </c>
      <c r="B3090" s="1" t="str">
        <f ca="1">IFERROR(__xludf.DUMFUNCTION("GOOGLETRANSLATE(A3165,""id"",""en"")"),"Teach the wrong command to get out of a new move control fuel consumption subsidies for wise  application is easy to buy fuel subsidies")</f>
        <v>Teach the wrong command to get out of a new move control fuel consumption subsidies for wise  application is easy to buy fuel subsidies</v>
      </c>
    </row>
    <row r="3091" spans="1:2" x14ac:dyDescent="0.2">
      <c r="A3091" s="1" t="s">
        <v>4842</v>
      </c>
      <c r="B3091" s="1" t="str">
        <f ca="1">IFERROR(__xludf.DUMFUNCTION("GOOGLETRANSLATE(A3166,""id"",""en"")"),"the motorbike must use  kha thinking the SJ car")</f>
        <v>the motorbike must use  kha thinking the SJ car</v>
      </c>
    </row>
    <row r="3092" spans="1:2" x14ac:dyDescent="0.2">
      <c r="A3092" s="1" t="s">
        <v>4843</v>
      </c>
      <c r="B3092" s="1" t="str">
        <f ca="1">IFERROR(__xludf.DUMFUNCTION("GOOGLETRANSLATE(A3167,""id"",""en"")")," Application Buy LPG Gas Discourse")</f>
        <v xml:space="preserve"> Application Buy LPG Gas Discourse</v>
      </c>
    </row>
    <row r="3093" spans="1:2" x14ac:dyDescent="0.2">
      <c r="A3093" s="1" t="s">
        <v>3173</v>
      </c>
      <c r="B3093" s="1" t="str">
        <f ca="1">IFERROR(__xludf.DUMFUNCTION("GOOGLETRANSLATE(A3168,""id"",""en"")"),"complicated though using ")</f>
        <v xml:space="preserve">complicated though using </v>
      </c>
    </row>
    <row r="3094" spans="1:2" x14ac:dyDescent="0.2">
      <c r="A3094" s="1" t="s">
        <v>4844</v>
      </c>
      <c r="B3094" s="1" t="str">
        <f ca="1">IFERROR(__xludf.DUMFUNCTION("GOOGLETRANSLATE(A3169,""id"",""en"")"),"People Criticism Breaking up  Names Change Unusual Rich Pas Krl Money")</f>
        <v>People Criticism Breaking up  Names Change Unusual Rich Pas Krl Money</v>
      </c>
    </row>
    <row r="3095" spans="1:2" x14ac:dyDescent="0.2">
      <c r="A3095" s="1" t="s">
        <v>4845</v>
      </c>
      <c r="B3095" s="1" t="str">
        <f ca="1">IFERROR(__xludf.DUMFUNCTION("GOOGLETRANSLATE(A3170,""id"",""en"")"),"Pertalite Consumer Buying Melon LPG Kilogram Gas Must be a pertamin Application Transaction")</f>
        <v>Pertalite Consumer Buying Melon LPG Kilogram Gas Must be a pertamin Application Transaction</v>
      </c>
    </row>
    <row r="3096" spans="1:2" x14ac:dyDescent="0.2">
      <c r="A3096" s="1" t="s">
        <v>4841</v>
      </c>
      <c r="B3096" s="1" t="str">
        <f ca="1">IFERROR(__xludf.DUMFUNCTION("GOOGLETRANSLATE(A3171,""id"",""en"")"),"Teach the wrong command to get out of a new move control fuel consumption subsidies for wise  application is easy to buy fuel subsidies")</f>
        <v>Teach the wrong command to get out of a new move control fuel consumption subsidies for wise  application is easy to buy fuel subsidies</v>
      </c>
    </row>
    <row r="3097" spans="1:2" x14ac:dyDescent="0.2">
      <c r="A3097" s="1" t="s">
        <v>4846</v>
      </c>
      <c r="B3097" s="1" t="str">
        <f ca="1">IFERROR(__xludf.DUMFUNCTION("GOOGLETRANSLATE(A3172,""id"",""en"")"),"for the  application from the business of buying and selling applications that are the smartphone subsidy rights")</f>
        <v>for the  application from the business of buying and selling applications that are the smartphone subsidy rights</v>
      </c>
    </row>
    <row r="3098" spans="1:2" x14ac:dyDescent="0.2">
      <c r="A3098" s="1" t="s">
        <v>4847</v>
      </c>
      <c r="B3098" s="1" t="str">
        <f ca="1">IFERROR(__xludf.DUMFUNCTION("GOOGLETRANSLATE(A3173,""id"",""en"")"),"Set it, it makes it easy, the  application just click then leave")</f>
        <v>Set it, it makes it easy, the  application just click then leave</v>
      </c>
    </row>
    <row r="3099" spans="1:2" x14ac:dyDescent="0.2">
      <c r="A3099" s="1" t="s">
        <v>4848</v>
      </c>
      <c r="B3099" s="1" t="str">
        <f ca="1">IFERROR(__xludf.DUMFUNCTION("GOOGLETRANSLATE(A3174,""id"",""en"")"),"Adult Scooter Children Scooter Alloy St Mass Kgs Collabonatontour Jokowi  Agnezmob")</f>
        <v>Adult Scooter Children Scooter Alloy St Mass Kgs Collabonatontour Jokowi  Agnezmob</v>
      </c>
    </row>
    <row r="3100" spans="1:2" x14ac:dyDescent="0.2">
      <c r="A3100" s="1" t="s">
        <v>183</v>
      </c>
      <c r="B3100" s="1" t="str">
        <f ca="1">IFERROR(__xludf.DUMFUNCTION("GOOGLETRANSLATE(A3175,""id"",""en"")"),"Sambal makes appetite guarantee the sambal squid of the Geprek fish is already Eid al -Adha PO")</f>
        <v>Sambal makes appetite guarantee the sambal squid of the Geprek fish is already Eid al -Adha PO</v>
      </c>
    </row>
    <row r="3101" spans="1:2" x14ac:dyDescent="0.2">
      <c r="A3101" s="1" t="s">
        <v>184</v>
      </c>
      <c r="B3101" s="1" t="str">
        <f ca="1">IFERROR(__xludf.DUMFUNCTION("GOOGLETRANSLATE(A3176,""id"",""en"")"),"Morning Gaes Motor Viar Roda New Karya Bit Support Red Business On The Road Jawa Onepiece San")</f>
        <v>Morning Gaes Motor Viar Roda New Karya Bit Support Red Business On The Road Jawa Onepiece San</v>
      </c>
    </row>
    <row r="3102" spans="1:2" x14ac:dyDescent="0.2">
      <c r="A3102" s="1" t="s">
        <v>185</v>
      </c>
      <c r="B3102" s="1" t="str">
        <f ca="1">IFERROR(__xludf.DUMFUNCTION("GOOGLETRANSLATE(A3177,""id"",""en"")"),"night eh morning fyi sandals declan skin slide for soft soft men comfortable using modern stylish layer kar")</f>
        <v>night eh morning fyi sandals declan skin slide for soft soft men comfortable using modern stylish layer kar</v>
      </c>
    </row>
    <row r="3103" spans="1:2" x14ac:dyDescent="0.2">
      <c r="A3103" s="1" t="s">
        <v>2788</v>
      </c>
      <c r="B3103" s="1" t="str">
        <f ca="1">IFERROR(__xludf.DUMFUNCTION("GOOGLETRANSLATE(A3178,""id"",""en"")")," Hajar application diarrhea rating netizens plummeted")</f>
        <v xml:space="preserve"> Hajar application diarrhea rating netizens plummeted</v>
      </c>
    </row>
    <row r="3104" spans="1:2" x14ac:dyDescent="0.2">
      <c r="A3104" s="1" t="s">
        <v>4849</v>
      </c>
      <c r="B3104" s="1" t="str">
        <f ca="1">IFERROR(__xludf.DUMFUNCTION("GOOGLETRANSLATE(A3179,""id"",""en"")"),"the rating  alamaak is really ugly")</f>
        <v>the rating  alamaak is really ugly</v>
      </c>
    </row>
    <row r="3105" spans="1:2" x14ac:dyDescent="0.2">
      <c r="A3105" s="1" t="s">
        <v>4850</v>
      </c>
      <c r="B3105" s="1" t="str">
        <f ca="1">IFERROR(__xludf.DUMFUNCTION("GOOGLETRANSLATE(A3180,""id"",""en"")"),"the area tomorrow is arranged to buy a petralite solar application  application")</f>
        <v>the area tomorrow is arranged to buy a petralite solar application  application</v>
      </c>
    </row>
    <row r="3106" spans="1:2" x14ac:dyDescent="0.2">
      <c r="A3106" s="1" t="s">
        <v>186</v>
      </c>
      <c r="B3106" s="1" t="str">
        <f ca="1">IFERROR(__xludf.DUMFUNCTION("GOOGLETRANSLATE(A3182,""id"",""en"")"),"luhut laknatulloh regime laknatulloh migor ama bbm take care of the luhut not yet complicated tags")</f>
        <v>luhut laknatulloh regime laknatulloh migor ama bbm take care of the luhut not yet complicated tags</v>
      </c>
    </row>
    <row r="3107" spans="1:2" x14ac:dyDescent="0.2">
      <c r="A3107" s="1" t="s">
        <v>187</v>
      </c>
      <c r="B3107" s="1" t="str">
        <f ca="1">IFERROR(__xludf.DUMFUNCTION("GOOGLETRANSLATE(A3183,""id"",""en"")"),"Buy Migor Using NIK Buy Gasoline Using Application Entering Mall Using Pedulipan Zalim Advanced Complicated Regime in Criticism in the Criticism in Criticism")</f>
        <v>Buy Migor Using NIK Buy Gasoline Using Application Entering Mall Using Pedulipan Zalim Advanced Complicated Regime in Criticism in the Criticism in Criticism</v>
      </c>
    </row>
    <row r="3108" spans="1:2" x14ac:dyDescent="0.2">
      <c r="A3108" s="1" t="s">
        <v>4851</v>
      </c>
      <c r="B3108" s="1" t="str">
        <f ca="1">IFERROR(__xludf.DUMFUNCTION("GOOGLETRANSLATE(A3184,""id"",""en"")"),"Specifically Open the APPS  Safe Reciplory Attacking the Dajjal Fittle")</f>
        <v>Specifically Open the APPS  Safe Reciplory Attacking the Dajjal Fittle</v>
      </c>
    </row>
    <row r="3109" spans="1:2" x14ac:dyDescent="0.2">
      <c r="A3109" s="1" t="s">
        <v>4852</v>
      </c>
      <c r="B3109" s="1" t="str">
        <f ca="1">IFERROR(__xludf.DUMFUNCTION("GOOGLETRANSLATE(A3185,""id"",""en"")"),"Support Hbs Tag Anies RI Holywingsle Hihatanislam Father of the Politics of the Regime of the Minister of Finance of  Kadrun SPBU CLOSE TKA TKA China Holywings Saudi Arabia Muhammadiyah")</f>
        <v>Support Hbs Tag Anies RI Holywingsle Hihatanislam Father of the Politics of the Regime of the Minister of Finance of  Kadrun SPBU CLOSE TKA TKA China Holywings Saudi Arabia Muhammadiyah</v>
      </c>
    </row>
    <row r="3110" spans="1:2" x14ac:dyDescent="0.2">
      <c r="A3110" s="1" t="s">
        <v>4853</v>
      </c>
      <c r="B3110" s="1" t="str">
        <f ca="1">IFERROR(__xludf.DUMFUNCTION("GOOGLETRANSLATE(A3186,""id"",""en"")"),"wrong logic to buy pertalite using   using a cellphone not on gas stations wrong logic")</f>
        <v>wrong logic to buy pertalite using   using a cellphone not on gas stations wrong logic</v>
      </c>
    </row>
    <row r="3111" spans="1:2" x14ac:dyDescent="0.2">
      <c r="A3111" s="1" t="s">
        <v>4393</v>
      </c>
      <c r="B3111" s="1" t="str">
        <f ca="1">IFERROR(__xludf.DUMFUNCTION("GOOGLETRANSLATE(A3187,""id"",""en"")"),"Buy Pertalite Solar Tight Mandatory Consumers List  Mobile")</f>
        <v>Buy Pertalite Solar Tight Mandatory Consumers List  Mobile</v>
      </c>
    </row>
    <row r="3112" spans="1:2" x14ac:dyDescent="0.2">
      <c r="A3112" s="1" t="s">
        <v>4854</v>
      </c>
      <c r="B3112" s="1" t="str">
        <f ca="1">IFERROR(__xludf.DUMFUNCTION("GOOGLETRANSLATE(A3188,""id"",""en"")"),"Alhamdulillah, Migor Pertalite uses the Pedulilat Protected  Money Prosperous Prosperous Application")</f>
        <v>Alhamdulillah, Migor Pertalite uses the Pedulilat Protected  Money Prosperous Prosperous Application</v>
      </c>
    </row>
    <row r="3113" spans="1:2" x14ac:dyDescent="0.2">
      <c r="A3113" s="1" t="s">
        <v>4855</v>
      </c>
      <c r="B3113" s="1" t="str">
        <f ca="1">IFERROR(__xludf.DUMFUNCTION("GOOGLETRANSLATE(A3189,""id"",""en"")"),"Abi Can Nyobian  Application Eta Cantum Teu Types of Kendara Brand Cc Na etc. Tah Pami Tos Ka Data Gather Na Bade KabaKakeun Data Na Tos List of Luxury Kendara Naa Nae Wae Pamarentah Kantun Damel Aut Larang Fill in Direct Pertalite")</f>
        <v>Abi Can Nyobian  Application Eta Cantum Teu Types of Kendara Brand Cc Na etc. Tah Pami Tos Ka Data Gather Na Bade KabaKakeun Data Na Tos List of Luxury Kendara Naa Nae Wae Pamarentah Kantun Damel Aut Larang Fill in Direct Pertalite</v>
      </c>
    </row>
    <row r="3114" spans="1:2" x14ac:dyDescent="0.2">
      <c r="A3114" s="1" t="s">
        <v>4856</v>
      </c>
      <c r="B3114" s="1" t="str">
        <f ca="1">IFERROR(__xludf.DUMFUNCTION("GOOGLETRANSLATE(A3190,""id"",""en"")"),"wrong logic to buy pertalite using   using a cellphone no hp on the gas station wrong logic buy pertalite using   using cellphones people don't buy cellphones not buy pertalite")</f>
        <v>wrong logic to buy pertalite using   using a cellphone no hp on the gas station wrong logic buy pertalite using   using cellphones people don't buy cellphones not buy pertalite</v>
      </c>
    </row>
    <row r="3115" spans="1:2" x14ac:dyDescent="0.2">
      <c r="A3115" s="1" t="s">
        <v>4857</v>
      </c>
      <c r="B3115" s="1" t="str">
        <f ca="1">IFERROR(__xludf.DUMFUNCTION("GOOGLETRANSLATE(A3191,""id"",""en"")"),"Jokowi is different from homecoming homecoming access to  application using a cellphone.")</f>
        <v>Jokowi is different from homecoming homecoming access to  application using a cellphone.</v>
      </c>
    </row>
    <row r="3116" spans="1:2" x14ac:dyDescent="0.2">
      <c r="A3116" s="1" t="s">
        <v>4858</v>
      </c>
      <c r="B3116" s="1" t="str">
        <f ca="1">IFERROR(__xludf.DUMFUNCTION("GOOGLETRANSLATE(A3192,""id"",""en"")"),"the area tomorrow is arranged to buy Petralite Solar Application  Adjust the Pros and Pro -Value of the Difficult Value of the Community")</f>
        <v>the area tomorrow is arranged to buy Petralite Solar Application  Adjust the Pros and Pro -Value of the Difficult Value of the Community</v>
      </c>
    </row>
    <row r="3117" spans="1:2" x14ac:dyDescent="0.2">
      <c r="A3117" s="1" t="s">
        <v>4859</v>
      </c>
      <c r="B3117" s="1" t="str">
        <f ca="1">IFERROR(__xludf.DUMFUNCTION("GOOGLETRANSLATE(A3193,""id"",""en"")"),"The Rating  Auto plummeted")</f>
        <v>The Rating  Auto plummeted</v>
      </c>
    </row>
    <row r="3118" spans="1:2" x14ac:dyDescent="0.2">
      <c r="A3118" s="1" t="s">
        <v>4860</v>
      </c>
      <c r="B3118" s="1" t="str">
        <f ca="1">IFERROR(__xludf.DUMFUNCTION("GOOGLETRANSLATE(A3194,""id"",""en"")"),"try downloading the  application")</f>
        <v>try downloading the  application</v>
      </c>
    </row>
    <row r="3119" spans="1:2" x14ac:dyDescent="0.2">
      <c r="A3119" s="1" t="s">
        <v>188</v>
      </c>
      <c r="B3119" s="1" t="str">
        <f ca="1">IFERROR(__xludf.DUMFUNCTION("GOOGLETRANSLATE(A3195,""id"",""en"")"),"rating down but spread ahoax")</f>
        <v>rating down but spread ahoax</v>
      </c>
    </row>
    <row r="3120" spans="1:2" x14ac:dyDescent="0.2">
      <c r="A3120" s="1" t="s">
        <v>4861</v>
      </c>
      <c r="B3120" s="1" t="str">
        <f ca="1">IFERROR(__xludf.DUMFUNCTION("GOOGLETRANSLATE(A3196,""id"",""en"")"),"Sharp criticism of PKS Buy subsidized BBM using the  application makes it very complicated to be very complicated.")</f>
        <v>Sharp criticism of PKS Buy subsidized BBM using the  application makes it very complicated to be very complicated.</v>
      </c>
    </row>
    <row r="3121" spans="1:2" x14ac:dyDescent="0.2">
      <c r="A3121" s="1" t="s">
        <v>189</v>
      </c>
      <c r="B3121" s="1" t="str">
        <f ca="1">IFERROR(__xludf.DUMFUNCTION("GOOGLETRANSLATE(A3197,""id"",""en"")"),"Ahok surround")</f>
        <v>Ahok surround</v>
      </c>
    </row>
    <row r="3122" spans="1:2" x14ac:dyDescent="0.2">
      <c r="A3122" s="1" t="s">
        <v>4862</v>
      </c>
      <c r="B3122" s="1" t="str">
        <f ca="1">IFERROR(__xludf.DUMFUNCTION("GOOGLETRANSLATE(A3198,""id"",""en"")"),"Already using  fine, simple cashless like cashback")</f>
        <v>Already using  fine, simple cashless like cashback</v>
      </c>
    </row>
    <row r="3123" spans="1:2" x14ac:dyDescent="0.2">
      <c r="A3123" s="1" t="s">
        <v>4863</v>
      </c>
      <c r="B3123" s="1" t="str">
        <f ca="1">IFERROR(__xludf.DUMFUNCTION("GOOGLETRANSLATE(A3199,""id"",""en"")"),"If you ask  to make a  tea application, if it's the cost of fuel, it's already a tire")</f>
        <v>If you ask  to make a  tea application, if it's the cost of fuel, it's already a tire</v>
      </c>
    </row>
    <row r="3124" spans="1:2" x14ac:dyDescent="0.2">
      <c r="A3124" s="1" t="s">
        <v>4864</v>
      </c>
      <c r="B3124" s="1" t="str">
        <f ca="1">IFERROR(__xludf.DUMFUNCTION("GOOGLETRANSLATE(A3200,""id"",""en"")"),"Discourse Buying LPG Kg Using  Wait for the Fuel List Completed")</f>
        <v>Discourse Buying LPG Kg Using  Wait for the Fuel List Completed</v>
      </c>
    </row>
    <row r="3125" spans="1:2" x14ac:dyDescent="0.2">
      <c r="A3125" s="1" t="s">
        <v>4865</v>
      </c>
      <c r="B3125" s="1" t="str">
        <f ca="1">IFERROR(__xludf.DUMFUNCTION("GOOGLETRANSLATE(A3201,""id"",""en"")"),"Buy the people of PEOPLE PEOPLE PEOPLE PEOPLE Debt Hp Download the  Application")</f>
        <v>Buy the people of PEOPLE PEOPLE PEOPLE PEOPLE Debt Hp Download the  Application</v>
      </c>
    </row>
    <row r="3126" spans="1:2" x14ac:dyDescent="0.2">
      <c r="A3126" s="1" t="s">
        <v>190</v>
      </c>
      <c r="B3126" s="1" t="str">
        <f ca="1">IFERROR(__xludf.DUMFUNCTION("GOOGLETRANSLATE(A3202,""id"",""en"")"),"Read, Drun, so I know, the alas fortune so that the wawas is not narrow like your brain")</f>
        <v>Read, Drun, so I know, the alas fortune so that the wawas is not narrow like your brain</v>
      </c>
    </row>
    <row r="3127" spans="1:2" x14ac:dyDescent="0.2">
      <c r="A3127" s="1" t="s">
        <v>4866</v>
      </c>
      <c r="B3127" s="1" t="str">
        <f ca="1">IFERROR(__xludf.DUMFUNCTION("GOOGLETRANSLATE(A3203,""id"",""en"")"),"Buy Pensin using  Gabolrh gas station playing cellphone")</f>
        <v>Buy Pensin using  Gabolrh gas station playing cellphone</v>
      </c>
    </row>
    <row r="3128" spans="1:2" x14ac:dyDescent="0.2">
      <c r="A3128" s="1" t="s">
        <v>4867</v>
      </c>
      <c r="B3128" s="1" t="str">
        <f ca="1">IFERROR(__xludf.DUMFUNCTION("GOOGLETRANSLATE(A3204,""id"",""en"")"),"Buy Pertalite amp Solar Using  Easily Amp Practically See Easy Stocks Let's Download Guys")</f>
        <v>Buy Pertalite amp Solar Using  Easily Amp Practically See Easy Stocks Let's Download Guys</v>
      </c>
    </row>
    <row r="3129" spans="1:2" x14ac:dyDescent="0.2">
      <c r="A3129" s="1" t="s">
        <v>4868</v>
      </c>
      <c r="B3129" s="1" t="str">
        <f ca="1">IFERROR(__xludf.DUMFUNCTION("GOOGLETRANSLATE(A3205,""id"",""en"")"),"Dzulhijjjjah Dakwah Islam Dont wait for all Impi  Thank you Wayv SPBU Thursday Instagramdown Eid al -Adha Good Morning")</f>
        <v>Dzulhijjjjah Dakwah Islam Dont wait for all Impi  Thank you Wayv SPBU Thursday Instagramdown Eid al -Adha Good Morning</v>
      </c>
    </row>
    <row r="3130" spans="1:2" x14ac:dyDescent="0.2">
      <c r="A3130" s="1" t="s">
        <v>4869</v>
      </c>
      <c r="B3130" s="1" t="str">
        <f ca="1">IFERROR(__xludf.DUMFUNCTION("GOOGLETRANSLATE(A3206,""id"",""en"")"),"should the people reject  acts of legal basis for order to set the criteria for receiving pertalite citizens of the city of Bandung reject buying pertalite using the  application")</f>
        <v>should the people reject  acts of legal basis for order to set the criteria for receiving pertalite citizens of the city of Bandung reject buying pertalite using the  application</v>
      </c>
    </row>
    <row r="3131" spans="1:2" x14ac:dyDescent="0.2">
      <c r="A3131" s="1" t="s">
        <v>4870</v>
      </c>
      <c r="B3131" s="1" t="str">
        <f ca="1">IFERROR(__xludf.DUMFUNCTION("GOOGLETRANSLATE(A3207,""id"",""en"")"),"Ahayy Haloo downloaded yes  wkwkk")</f>
        <v>Ahayy Haloo downloaded yes  wkwkk</v>
      </c>
    </row>
    <row r="3132" spans="1:2" x14ac:dyDescent="0.2">
      <c r="A3132" s="1" t="s">
        <v>4871</v>
      </c>
      <c r="B3132" s="1" t="str">
        <f ca="1">IFERROR(__xludf.DUMFUNCTION("GOOGLETRANSLATE(A3208,""id"",""en"")"),"Rang people don't read the news times, don't use  to register so that cc car data doesn't use subsidies if the motorcycle is cc")</f>
        <v>Rang people don't read the news times, don't use  to register so that cc car data doesn't use subsidies if the motorcycle is cc</v>
      </c>
    </row>
    <row r="3133" spans="1:2" x14ac:dyDescent="0.2">
      <c r="A3133" s="1" t="s">
        <v>2505</v>
      </c>
      <c r="B3133" s="1" t="str">
        <f ca="1">IFERROR(__xludf.DUMFUNCTION("GOOGLETRANSLATE(A3209,""id"",""en"")"),"Playing HP prohibits gas stations buy pertalite using the  application if it's gin who is stupid")</f>
        <v>Playing HP prohibits gas stations buy pertalite using the  application if it's gin who is stupid</v>
      </c>
    </row>
    <row r="3134" spans="1:2" x14ac:dyDescent="0.2">
      <c r="A3134" s="1" t="s">
        <v>4872</v>
      </c>
      <c r="B3134" s="1" t="str">
        <f ca="1">IFERROR(__xludf.DUMFUNCTION("GOOGLETRANSLATE(A3210,""id"",""en"")"),"Regency City Must Register  Buy BBM Subsidies July")</f>
        <v>Regency City Must Register  Buy BBM Subsidies July</v>
      </c>
    </row>
    <row r="3135" spans="1:2" x14ac:dyDescent="0.2">
      <c r="A3135" s="1" t="s">
        <v>4873</v>
      </c>
      <c r="B3135" s="1" t="str">
        <f ca="1">IFERROR(__xludf.DUMFUNCTION("GOOGLETRANSLATE(A3211,""id"",""en"")"),"with  people who can be non -subsidized so it is difficult to obstacle mobile phones there are poor difficult")</f>
        <v>with  people who can be non -subsidized so it is difficult to obstacle mobile phones there are poor difficult</v>
      </c>
    </row>
    <row r="3136" spans="1:2" x14ac:dyDescent="0.2">
      <c r="A3136" s="1" t="s">
        <v>2481</v>
      </c>
      <c r="B3136" s="1" t="str">
        <f ca="1">IFERROR(__xludf.DUMFUNCTION("GOOGLETRANSLATE(A3212,""id"",""en"")"),"Old HP old school angkot driver difficult difficult ")</f>
        <v xml:space="preserve">Old HP old school angkot driver difficult difficult </v>
      </c>
    </row>
    <row r="3137" spans="1:2" x14ac:dyDescent="0.2">
      <c r="A3137" s="1" t="s">
        <v>4874</v>
      </c>
      <c r="B3137" s="1" t="str">
        <f ca="1">IFERROR(__xludf.DUMFUNCTION("GOOGLETRANSLATE(A3213,""id"",""en"")"),"make a hassle, mang complain that the Sukabumi City angkot driver is buying pertalite using ")</f>
        <v xml:space="preserve">make a hassle, mang complain that the Sukabumi City angkot driver is buying pertalite using </v>
      </c>
    </row>
    <row r="3138" spans="1:2" x14ac:dyDescent="0.2">
      <c r="A3138" s="1" t="s">
        <v>4875</v>
      </c>
      <c r="B3138" s="1" t="str">
        <f ca="1">IFERROR(__xludf.DUMFUNCTION("GOOGLETRANSLATE(A3214,""id"",""en"")"),"Order  oh yes queued for a moment")</f>
        <v>Order  oh yes queued for a moment</v>
      </c>
    </row>
    <row r="3139" spans="1:2" x14ac:dyDescent="0.2">
      <c r="A3139" s="1" t="s">
        <v>4876</v>
      </c>
      <c r="B3139" s="1" t="str">
        <f ca="1">IFERROR(__xludf.DUMFUNCTION("GOOGLETRANSLATE(A3215,""id"",""en"")"),"WAINI KOTA SUKABUMI TRUE TRIAL BUY SUBSIDI BUBER USING  JULI")</f>
        <v>WAINI KOTA SUKABUMI TRUE TRIAL BUY SUBSIDI BUBER USING  JULI</v>
      </c>
    </row>
    <row r="3140" spans="1:2" x14ac:dyDescent="0.2">
      <c r="A3140" s="1" t="s">
        <v>4877</v>
      </c>
      <c r="B3140" s="1" t="str">
        <f ca="1">IFERROR(__xludf.DUMFUNCTION("GOOGLETRANSLATE(A3216,""id"",""en"")"),"Record tomorrow July Buy BBM Solar Pertalite Must Use ")</f>
        <v xml:space="preserve">Record tomorrow July Buy BBM Solar Pertalite Must Use </v>
      </c>
    </row>
    <row r="3141" spans="1:2" x14ac:dyDescent="0.2">
      <c r="A3141" s="1" t="s">
        <v>995</v>
      </c>
      <c r="B3141" s="1" t="str">
        <f ca="1">IFERROR(__xludf.DUMFUNCTION("GOOGLETRANSLATE(A3217,""id"",""en"")"),"only OOT  obey mahzab complicated commands are difficult huh")</f>
        <v>only OOT  obey mahzab complicated commands are difficult huh</v>
      </c>
    </row>
    <row r="3142" spans="1:2" x14ac:dyDescent="0.2">
      <c r="A3142" s="1" t="s">
        <v>4878</v>
      </c>
      <c r="B3142" s="1" t="str">
        <f ca="1">IFERROR(__xludf.DUMFUNCTION("GOOGLETRANSLATE(A3218,""id"",""en"")"),"List of Consumers of BBM Rights Subsidies   Pertalite Application")</f>
        <v>List of Consumers of BBM Rights Subsidies   Pertalite Application</v>
      </c>
    </row>
    <row r="3143" spans="1:2" x14ac:dyDescent="0.2">
      <c r="A3143" s="1" t="s">
        <v>4879</v>
      </c>
      <c r="B3143" s="1" t="str">
        <f ca="1">IFERROR(__xludf.DUMFUNCTION("GOOGLETRANSLATE(A3219,""id"",""en"")"),"Buy Pertalite Solar Using the  Application See Paying Pertalite  ")</f>
        <v xml:space="preserve">Buy Pertalite Solar Using the  Application See Paying Pertalite  </v>
      </c>
    </row>
    <row r="3144" spans="1:2" x14ac:dyDescent="0.2">
      <c r="A3144" s="1" t="s">
        <v>4880</v>
      </c>
      <c r="B3144" s="1" t="str">
        <f ca="1">IFERROR(__xludf.DUMFUNCTION("GOOGLETRANSLATE(A3220,""id"",""en"")")," Collecting Data")</f>
        <v xml:space="preserve"> Collecting Data</v>
      </c>
    </row>
    <row r="3145" spans="1:2" x14ac:dyDescent="0.2">
      <c r="A3145" s="1" t="s">
        <v>4881</v>
      </c>
      <c r="B3145" s="1" t="str">
        <f ca="1">IFERROR(__xludf.DUMFUNCTION("GOOGLETRANSLATE(A3221,""id"",""en"")"),"Sharp criticism of PKS Buy Subsidized BBM Using the  Application Makes a Very Complicated Power of Power of Power. Well, the people are complicated in the criticism of the regime in criticism in criticism")</f>
        <v>Sharp criticism of PKS Buy Subsidized BBM Using the  Application Makes a Very Complicated Power of Power of Power. Well, the people are complicated in the criticism of the regime in criticism in criticism</v>
      </c>
    </row>
    <row r="3146" spans="1:2" x14ac:dyDescent="0.2">
      <c r="A3146" s="1" t="s">
        <v>4882</v>
      </c>
      <c r="B3146" s="1" t="str">
        <f ca="1">IFERROR(__xludf.DUMFUNCTION("GOOGLETRANSLATE(A3222,""id"",""en"")")," wisely buy pertalite using  tempobusiness limits")</f>
        <v xml:space="preserve"> wisely buy pertalite using  tempobusiness limits</v>
      </c>
    </row>
    <row r="3147" spans="1:2" x14ac:dyDescent="0.2">
      <c r="A3147" s="1" t="s">
        <v>4883</v>
      </c>
      <c r="B3147" s="1" t="str">
        <f ca="1">IFERROR(__xludf.DUMFUNCTION("GOOGLETRANSLATE(A3223,""id"",""en"")"),"Geger Application  The rating of netizens is a netizen netizen application  unfaedah on the face of the earth")</f>
        <v>Geger Application  The rating of netizens is a netizen netizen application  unfaedah on the face of the earth</v>
      </c>
    </row>
    <row r="3148" spans="1:2" x14ac:dyDescent="0.2">
      <c r="A3148" s="1" t="s">
        <v>4884</v>
      </c>
      <c r="B3148" s="1" t="str">
        <f ca="1">IFERROR(__xludf.DUMFUNCTION("GOOGLETRANSLATE(A3224,""id"",""en"")")," Star Spam")</f>
        <v xml:space="preserve"> Star Spam</v>
      </c>
    </row>
    <row r="3149" spans="1:2" x14ac:dyDescent="0.2">
      <c r="A3149" s="1" t="s">
        <v>4792</v>
      </c>
      <c r="B3149" s="1" t="str">
        <f ca="1">IFERROR(__xludf.DUMFUNCTION("GOOGLETRANSLATE(A3225,""id"",""en"")"),"buy lpg kg list ")</f>
        <v xml:space="preserve">buy lpg kg list </v>
      </c>
    </row>
    <row r="3150" spans="1:2" x14ac:dyDescent="0.2">
      <c r="A3150" s="1" t="s">
        <v>4885</v>
      </c>
      <c r="B3150" s="1" t="str">
        <f ca="1">IFERROR(__xludf.DUMFUNCTION("GOOGLETRANSLATE(A3226,""id"",""en"")"),"the area of ​​the wise stage of buying fuel subsidies    Pertalite")</f>
        <v>the area of ​​the wise stage of buying fuel subsidies    Pertalite</v>
      </c>
    </row>
    <row r="3151" spans="1:2" x14ac:dyDescent="0.2">
      <c r="A3151" s="1" t="s">
        <v>191</v>
      </c>
      <c r="B3151" s="1" t="str">
        <f ca="1">IFERROR(__xludf.DUMFUNCTION("GOOGLETRANSLATE(A3227,""id"",""en"")"),"makes it complicated to make the three rare disappear like premium is indeed a barbaric to take care of the people")</f>
        <v>makes it complicated to make the three rare disappear like premium is indeed a barbaric to take care of the people</v>
      </c>
    </row>
    <row r="3152" spans="1:2" x14ac:dyDescent="0.2">
      <c r="A3152" s="1" t="s">
        <v>4886</v>
      </c>
      <c r="B3152" s="1" t="str">
        <f ca="1">IFERROR(__xludf.DUMFUNCTION("GOOGLETRANSLATE(A3228,""id"",""en"")"),"Sky Stars Hand over except for ")</f>
        <v xml:space="preserve">Sky Stars Hand over except for </v>
      </c>
    </row>
    <row r="3153" spans="1:2" x14ac:dyDescent="0.2">
      <c r="A3153" s="1" t="s">
        <v>4887</v>
      </c>
      <c r="B3153" s="1" t="str">
        <f ca="1">IFERROR(__xludf.DUMFUNCTION("GOOGLETRANSLATE(A3229,""id"",""en"")"),"Read the alternating Mafia BBM  for verification that is the right to buy older fuel org who is like a delicious fuel subsidy")</f>
        <v>Read the alternating Mafia BBM  for verification that is the right to buy older fuel org who is like a delicious fuel subsidy</v>
      </c>
    </row>
    <row r="3154" spans="1:2" x14ac:dyDescent="0.2">
      <c r="A3154" s="1" t="s">
        <v>4888</v>
      </c>
      <c r="B3154" s="1" t="str">
        <f ca="1">IFERROR(__xludf.DUMFUNCTION("GOOGLETRANSLATE(A3230,""id"",""en"")"),"BPBD urges residents to be alert to strong winds of  trials in the city of July Sak")</f>
        <v>BPBD urges residents to be alert to strong winds of  trials in the city of July Sak</v>
      </c>
    </row>
    <row r="3155" spans="1:2" x14ac:dyDescent="0.2">
      <c r="A3155" s="1" t="s">
        <v>4889</v>
      </c>
      <c r="B3155" s="1" t="str">
        <f ca="1">IFERROR(__xludf.DUMFUNCTION("GOOGLETRANSLATE(A3231,""id"",""en"")"),"Ambul of the corpse using  Kendara BBM Subsidies Pertalite  ")</f>
        <v xml:space="preserve">Ambul of the corpse using  Kendara BBM Subsidies Pertalite  </v>
      </c>
    </row>
    <row r="3156" spans="1:2" x14ac:dyDescent="0.2">
      <c r="A3156" s="1" t="s">
        <v>4890</v>
      </c>
      <c r="B3156" s="1" t="str">
        <f ca="1">IFERROR(__xludf.DUMFUNCTION("GOOGLETRANSLATE(A3232,""id"",""en"")"),"Popular Money Alas  Choose the Mandatory Region of the List of  Salary Liquid PNS Friday")</f>
        <v>Popular Money Alas  Choose the Mandatory Region of the List of  Salary Liquid PNS Friday</v>
      </c>
    </row>
    <row r="3157" spans="1:2" x14ac:dyDescent="0.2">
      <c r="A3157" s="1" t="s">
        <v>4891</v>
      </c>
      <c r="B3157" s="1" t="str">
        <f ca="1">IFERROR(__xludf.DUMFUNCTION("GOOGLETRANSLATE(A3233,""id"",""en"")"),"limit but spy buy that entered  wallahu lam hehehe")</f>
        <v>limit but spy buy that entered  wallahu lam hehehe</v>
      </c>
    </row>
    <row r="3158" spans="1:2" x14ac:dyDescent="0.2">
      <c r="A3158" s="1" t="s">
        <v>4892</v>
      </c>
      <c r="B3158" s="1" t="str">
        <f ca="1">IFERROR(__xludf.DUMFUNCTION("GOOGLETRANSLATE(A3234,""id"",""en"")"),"Pay attention to Pertalite Buy LPG List of  IDCorner")</f>
        <v>Pay attention to Pertalite Buy LPG List of  IDCorner</v>
      </c>
    </row>
    <row r="3159" spans="1:2" x14ac:dyDescent="0.2">
      <c r="A3159" s="1" t="s">
        <v>4882</v>
      </c>
      <c r="B3159" s="1" t="str">
        <f ca="1">IFERROR(__xludf.DUMFUNCTION("GOOGLETRANSLATE(A3235,""id"",""en"")")," wisely buy pertalite using  tempobusiness limits")</f>
        <v xml:space="preserve"> wisely buy pertalite using  tempobusiness limits</v>
      </c>
    </row>
    <row r="3160" spans="1:2" x14ac:dyDescent="0.2">
      <c r="A3160" s="1" t="s">
        <v>4893</v>
      </c>
      <c r="B3160" s="1" t="str">
        <f ca="1">IFERROR(__xludf.DUMFUNCTION("GOOGLETRANSLATE(A3236,""id"",""en"")"),"Ah yesterday afternoon I immediately asked the SPBU employee the main vehicle wheel was safe not using  siu employee")</f>
        <v>Ah yesterday afternoon I immediately asked the SPBU employee the main vehicle wheel was safe not using  siu employee</v>
      </c>
    </row>
    <row r="3161" spans="1:2" x14ac:dyDescent="0.2">
      <c r="A3161" s="1" t="s">
        <v>4894</v>
      </c>
      <c r="B3161" s="1" t="str">
        <f ca="1">IFERROR(__xludf.DUMFUNCTION("GOOGLETRANSLATE(A3237,""id"",""en"")"),"if you fill the motorcycle tank with  if you cook using gas using  application")</f>
        <v>if you fill the motorcycle tank with  if you cook using gas using  application</v>
      </c>
    </row>
    <row r="3162" spans="1:2" x14ac:dyDescent="0.2">
      <c r="A3162" s="1" t="s">
        <v>4895</v>
      </c>
      <c r="B3162" s="1" t="str">
        <f ca="1">IFERROR(__xludf.DUMFUNCTION("GOOGLETRANSLATE(A3238,""id"",""en"")"),"If the oil uses the PL Kasi Rakyah Lay village, Bnyk doesn't use a smartphone if BBM uses , how safe is a signal, etc.")</f>
        <v>If the oil uses the PL Kasi Rakyah Lay village, Bnyk doesn't use a smartphone if BBM uses , how safe is a signal, etc.</v>
      </c>
    </row>
    <row r="3163" spans="1:2" x14ac:dyDescent="0.2">
      <c r="A3163" s="1" t="s">
        <v>4849</v>
      </c>
      <c r="B3163" s="1" t="str">
        <f ca="1">IFERROR(__xludf.DUMFUNCTION("GOOGLETRANSLATE(A3239,""id"",""en"")"),"the rating  alamaak is really ugly")</f>
        <v>the rating  alamaak is really ugly</v>
      </c>
    </row>
    <row r="3164" spans="1:2" x14ac:dyDescent="0.2">
      <c r="A3164" s="1" t="s">
        <v>4718</v>
      </c>
      <c r="B3164" s="1" t="str">
        <f ca="1">IFERROR(__xludf.DUMFUNCTION("GOOGLETRANSLATE(A3240,""id"",""en"")"),"Buy Pertalite Solar Mandatory  Application Buy BBM Community Bring a Smartphone")</f>
        <v>Buy Pertalite Solar Mandatory  Application Buy BBM Community Bring a Smartphone</v>
      </c>
    </row>
    <row r="3165" spans="1:2" x14ac:dyDescent="0.2">
      <c r="A3165" s="1" t="s">
        <v>4896</v>
      </c>
      <c r="B3165" s="1" t="str">
        <f ca="1">IFERROR(__xludf.DUMFUNCTION("GOOGLETRANSLATE(A3241,""id"",""en"")"),"buy lpg kg list  nyusain the people ajah oohh pem program")</f>
        <v>buy lpg kg list  nyusain the people ajah oohh pem program</v>
      </c>
    </row>
    <row r="3166" spans="1:2" x14ac:dyDescent="0.2">
      <c r="A3166" s="1" t="s">
        <v>4897</v>
      </c>
      <c r="B3166" s="1" t="str">
        <f ca="1">IFERROR(__xludf.DUMFUNCTION("GOOGLETRANSLATE(A3242,""id"",""en"")"),"Buy Pertalite BBM Subsidies Mandatory List of Official  Website Applications")</f>
        <v>Buy Pertalite BBM Subsidies Mandatory List of Official  Website Applications</v>
      </c>
    </row>
    <row r="3167" spans="1:2" x14ac:dyDescent="0.2">
      <c r="A3167" s="1" t="s">
        <v>4898</v>
      </c>
      <c r="B3167" s="1" t="str">
        <f ca="1">IFERROR(__xludf.DUMFUNCTION("GOOGLETRANSLATE(A3243,""id"",""en"")"),"Don't forget to install  too")</f>
        <v>Don't forget to install  too</v>
      </c>
    </row>
    <row r="3168" spans="1:2" x14ac:dyDescent="0.2">
      <c r="A3168" s="1" t="s">
        <v>4899</v>
      </c>
      <c r="B3168" s="1" t="str">
        <f ca="1">IFERROR(__xludf.DUMFUNCTION("GOOGLETRANSLATE(A3244,""id"",""en"")")," marriage list")</f>
        <v xml:space="preserve"> marriage list</v>
      </c>
    </row>
    <row r="3169" spans="1:2" x14ac:dyDescent="0.2">
      <c r="A3169" s="1" t="s">
        <v>4900</v>
      </c>
      <c r="B3169" s="1" t="str">
        <f ca="1">IFERROR(__xludf.DUMFUNCTION("GOOGLETRANSLATE(A3245,""id"",""en"")"),"Date picking up doi house list of ")</f>
        <v xml:space="preserve">Date picking up doi house list of </v>
      </c>
    </row>
    <row r="3170" spans="1:2" x14ac:dyDescent="0.2">
      <c r="A3170" s="1" t="s">
        <v>4901</v>
      </c>
      <c r="B3170" s="1" t="str">
        <f ca="1">IFERROR(__xludf.DUMFUNCTION("GOOGLETRANSLATE(A3246,""id"",""en"")"),"LPG GAS AGENT SOLO CITY I MUST USE THE  KEP APPLICATION")</f>
        <v>LPG GAS AGENT SOLO CITY I MUST USE THE  KEP APPLICATION</v>
      </c>
    </row>
    <row r="3171" spans="1:2" x14ac:dyDescent="0.2">
      <c r="A3171" s="1" t="s">
        <v>4902</v>
      </c>
      <c r="B3171" s="1" t="str">
        <f ca="1">IFERROR(__xludf.DUMFUNCTION("GOOGLETRANSLATE(A3247,""id"",""en"")"),"LPG GAS AGENCY SOLO CITY I MUST USE THE  APPLICATION CONSUMERS BUY LPG GAS MEASURE KG GOOD SELLING GAS ELPG MEASURE KG LEVEL")</f>
        <v>LPG GAS AGENCY SOLO CITY I MUST USE THE  APPLICATION CONSUMERS BUY LPG GAS MEASURE KG GOOD SELLING GAS ELPG MEASURE KG LEVEL</v>
      </c>
    </row>
    <row r="3172" spans="1:2" x14ac:dyDescent="0.2">
      <c r="A3172" s="1" t="s">
        <v>4903</v>
      </c>
      <c r="B3172" s="1" t="str">
        <f ca="1">IFERROR(__xludf.DUMFUNCTION("GOOGLETRANSLATE(A3248,""id"",""en"")"),"Want to subsidize the cooking oil amp pertalite to the target of the applications of the Pedulilat protected P")</f>
        <v>Want to subsidize the cooking oil amp pertalite to the target of the applications of the Pedulilat protected P</v>
      </c>
    </row>
    <row r="3173" spans="1:2" x14ac:dyDescent="0.2">
      <c r="A3173" s="1" t="s">
        <v>4904</v>
      </c>
      <c r="B3173" s="1" t="str">
        <f ca="1">IFERROR(__xludf.DUMFUNCTION("GOOGLETRANSLATE(A3249,""id"",""en"")"),"don't play cellphones jir gas station nek mbledos how about the solar  gas station pertalite")</f>
        <v>don't play cellphones jir gas station nek mbledos how about the solar  gas station pertalite</v>
      </c>
    </row>
    <row r="3174" spans="1:2" x14ac:dyDescent="0.2">
      <c r="A3174" s="1" t="s">
        <v>4905</v>
      </c>
      <c r="B3174" s="1" t="str">
        <f ca="1">IFERROR(__xludf.DUMFUNCTION("GOOGLETRANSLATE(A3250,""id"",""en"")"),"eh, the area must be  too")</f>
        <v>eh, the area must be  too</v>
      </c>
    </row>
    <row r="3175" spans="1:2" x14ac:dyDescent="0.2">
      <c r="A3175" s="1" t="s">
        <v>4906</v>
      </c>
      <c r="B3175" s="1" t="str">
        <f ca="1">IFERROR(__xludf.DUMFUNCTION("GOOGLETRANSLATE(A3251,""id"",""en"")"),"selling cheap netflix dm wa youtube premium spotify disney hotstar viu apple music go wetv grammarly hbo iqiyi amazon prime video rental zoom scribd quillbot hulu vsco vpn max ")</f>
        <v xml:space="preserve">selling cheap netflix dm wa youtube premium spotify disney hotstar viu apple music go wetv grammarly hbo iqiyi amazon prime video rental zoom scribd quillbot hulu vsco vpn max </v>
      </c>
    </row>
    <row r="3176" spans="1:2" x14ac:dyDescent="0.2">
      <c r="A3176" s="1" t="s">
        <v>996</v>
      </c>
      <c r="B3176" s="1" t="str">
        <f ca="1">IFERROR(__xludf.DUMFUNCTION("GOOGLETRANSLATE(A3252,""id"",""en"")")," Operator Management of Indonesia's Oil and Gas Mandation Must Be Public Buy Pertalite Gasoline")</f>
        <v xml:space="preserve"> Operator Management of Indonesia's Oil and Gas Mandation Must Be Public Buy Pertalite Gasoline</v>
      </c>
    </row>
    <row r="3177" spans="1:2" x14ac:dyDescent="0.2">
      <c r="A3177" s="1" t="s">
        <v>4907</v>
      </c>
      <c r="B3177" s="1" t="str">
        <f ca="1">IFERROR(__xludf.DUMFUNCTION("GOOGLETRANSLATE(A3253,""id"",""en"")")," Operator Management of Indonesian Oil and Gas Society Must buy gasoline type Pertalite solar subsidies LPG Gas Measuring Kg Gas Melon Registration Application  application")</f>
        <v xml:space="preserve"> Operator Management of Indonesian Oil and Gas Society Must buy gasoline type Pertalite solar subsidies LPG Gas Measuring Kg Gas Melon Registration Application  application</v>
      </c>
    </row>
    <row r="3178" spans="1:2" x14ac:dyDescent="0.2">
      <c r="A3178" s="1" t="s">
        <v>4908</v>
      </c>
      <c r="B3178" s="1" t="str">
        <f ca="1">IFERROR(__xludf.DUMFUNCTION("GOOGLETRANSLATE(A3254,""id"",""en"")"),"min July the area must use the  application")</f>
        <v>min July the area must use the  application</v>
      </c>
    </row>
    <row r="3179" spans="1:2" x14ac:dyDescent="0.2">
      <c r="A3179" s="1" t="s">
        <v>192</v>
      </c>
      <c r="B3179" s="1" t="str">
        <f ca="1">IFERROR(__xludf.DUMFUNCTION("GOOGLETRANSLATE(A3255,""id"",""en"")"),"orders to fail to set consumers of fuel subsidized types of solar solar.")</f>
        <v>orders to fail to set consumers of fuel subsidized types of solar solar.</v>
      </c>
    </row>
    <row r="3180" spans="1:2" x14ac:dyDescent="0.2">
      <c r="A3180" s="1" t="s">
        <v>4909</v>
      </c>
      <c r="B3180" s="1" t="str">
        <f ca="1">IFERROR(__xludf.DUMFUNCTION("GOOGLETRANSLATE(A3256,""id"",""en"")"),"buy pertalite  for motorbike luxury car kendara wheel de")</f>
        <v>buy pertalite  for motorbike luxury car kendara wheel de</v>
      </c>
    </row>
    <row r="3181" spans="1:2" x14ac:dyDescent="0.2">
      <c r="A3181" s="1" t="s">
        <v>4886</v>
      </c>
      <c r="B3181" s="1" t="str">
        <f ca="1">IFERROR(__xludf.DUMFUNCTION("GOOGLETRANSLATE(A3257,""id"",""en"")"),"Sky Stars Hand over except for ")</f>
        <v xml:space="preserve">Sky Stars Hand over except for </v>
      </c>
    </row>
    <row r="3182" spans="1:2" x14ac:dyDescent="0.2">
      <c r="A3182" s="1" t="s">
        <v>4910</v>
      </c>
      <c r="B3182" s="1" t="str">
        <f ca="1">IFERROR(__xludf.DUMFUNCTION("GOOGLETRANSLATE(A3258,""id"",""en"")"),"Poor  Application Rating plus complaints to not use money that sells parking tolls")</f>
        <v>Poor  Application Rating plus complaints to not use money that sells parking tolls</v>
      </c>
    </row>
    <row r="3183" spans="1:2" x14ac:dyDescent="0.2">
      <c r="A3183" s="1" t="s">
        <v>4911</v>
      </c>
      <c r="B3183" s="1" t="str">
        <f ca="1">IFERROR(__xludf.DUMFUNCTION("GOOGLETRANSLATE(A3259,""id"",""en"")")," Sunnah's Law is mandatory")</f>
        <v xml:space="preserve"> Sunnah's Law is mandatory</v>
      </c>
    </row>
    <row r="3184" spans="1:2" x14ac:dyDescent="0.2">
      <c r="A3184" s="1" t="s">
        <v>193</v>
      </c>
      <c r="B3184" s="1" t="str">
        <f ca="1">IFERROR(__xludf.DUMFUNCTION("GOOGLETRANSLATE(A3260,""id"",""en"")"),"Trial Buy Fuel Fuel Subsidized Website List")</f>
        <v>Trial Buy Fuel Fuel Subsidized Website List</v>
      </c>
    </row>
    <row r="3185" spans="1:2" x14ac:dyDescent="0.2">
      <c r="A3185" s="1" t="s">
        <v>4912</v>
      </c>
      <c r="B3185" s="1" t="str">
        <f ca="1">IFERROR(__xludf.DUMFUNCTION("GOOGLETRANSLATE(A3261,""id"",""en"")"),"no citizens who already use  too")</f>
        <v>no citizens who already use  too</v>
      </c>
    </row>
    <row r="3186" spans="1:2" x14ac:dyDescent="0.2">
      <c r="A3186" s="1" t="s">
        <v>194</v>
      </c>
      <c r="B3186" s="1" t="str">
        <f ca="1">IFERROR(__xludf.DUMFUNCTION("GOOGLETRANSLATE(A3262,""id"",""en"")"),"Buy BBM Subsidy Type of Pertalite Solar Tight Kendara Buy the type of fuel")</f>
        <v>Buy BBM Subsidy Type of Pertalite Solar Tight Kendara Buy the type of fuel</v>
      </c>
    </row>
    <row r="3187" spans="1:2" x14ac:dyDescent="0.2">
      <c r="A3187" s="1" t="s">
        <v>195</v>
      </c>
      <c r="B3187" s="1" t="str">
        <f ca="1">IFERROR(__xludf.DUMFUNCTION("GOOGLETRANSLATE(A3263,""id"",""en"")"),"buy fuel fuel fuel subsidized solar pertalite limit buy list")</f>
        <v>buy fuel fuel fuel subsidized solar pertalite limit buy list</v>
      </c>
    </row>
    <row r="3188" spans="1:2" x14ac:dyDescent="0.2">
      <c r="A3188" s="1" t="s">
        <v>196</v>
      </c>
      <c r="B3188" s="1" t="str">
        <f ca="1">IFERROR(__xludf.DUMFUNCTION("GOOGLETRANSLATE(A3264,""id"",""en"")"),"very telecommunications in the Bandung Institute of Technology Ridwan Efendi Radiation Value Embossed HP")</f>
        <v>very telecommunications in the Bandung Institute of Technology Ridwan Efendi Radiation Value Embossed HP</v>
      </c>
    </row>
    <row r="3189" spans="1:2" x14ac:dyDescent="0.2">
      <c r="A3189" s="1" t="s">
        <v>197</v>
      </c>
      <c r="B3189" s="1" t="str">
        <f ca="1">IFERROR(__xludf.DUMFUNCTION("GOOGLETRANSLATE(A3265,""id"",""en"")"),"JULI BUY PERTALITE SOLAR CONSUMER LIMITS BUY PERTALITE SOLAR DIW")</f>
        <v>JULI BUY PERTALITE SOLAR CONSUMER LIMITS BUY PERTALITE SOLAR DIW</v>
      </c>
    </row>
    <row r="3190" spans="1:2" x14ac:dyDescent="0.2">
      <c r="A3190" s="1" t="s">
        <v>997</v>
      </c>
      <c r="B3190" s="1" t="str">
        <f ca="1">IFERROR(__xludf.DUMFUNCTION("GOOGLETRANSLATE(A3266,""id"",""en"")")," Implementation of National Buying September")</f>
        <v xml:space="preserve"> Implementation of National Buying September</v>
      </c>
    </row>
    <row r="3191" spans="1:2" x14ac:dyDescent="0.2">
      <c r="A3191" s="1" t="s">
        <v>4913</v>
      </c>
      <c r="B3191" s="1" t="str">
        <f ca="1">IFERROR(__xludf.DUMFUNCTION("GOOGLETRANSLATE(A3267,""id"",""en"")"),"Terms of buying list of BBM Pertalite  Application")</f>
        <v>Terms of buying list of BBM Pertalite  Application</v>
      </c>
    </row>
    <row r="3192" spans="1:2" x14ac:dyDescent="0.2">
      <c r="A3192" s="1" t="s">
        <v>198</v>
      </c>
      <c r="B3192" s="1" t="str">
        <f ca="1">IFERROR(__xludf.DUMFUNCTION("GOOGLETRANSLATE(A3268,""id"",""en"")"),"I support the innovation of the Sasar AMP Energy Distribution Continue to Buy Pertalite Amp Solar")</f>
        <v>I support the innovation of the Sasar AMP Energy Distribution Continue to Buy Pertalite Amp Solar</v>
      </c>
    </row>
    <row r="3193" spans="1:2" x14ac:dyDescent="0.2">
      <c r="A3193" s="1" t="s">
        <v>4914</v>
      </c>
      <c r="B3193" s="1" t="str">
        <f ca="1">IFERROR(__xludf.DUMFUNCTION("GOOGLETRANSLATE(A3269,""id"",""en"")"),"Instead of grain ")</f>
        <v xml:space="preserve">Instead of grain </v>
      </c>
    </row>
    <row r="3194" spans="1:2" x14ac:dyDescent="0.2">
      <c r="A3194" s="1" t="s">
        <v>4915</v>
      </c>
      <c r="B3194" s="1" t="str">
        <f ca="1">IFERROR(__xludf.DUMFUNCTION("GOOGLETRANSLATE(A3270,""id"",""en"")"),"already downloaded the  bang application")</f>
        <v>already downloaded the  bang application</v>
      </c>
    </row>
    <row r="3195" spans="1:2" x14ac:dyDescent="0.2">
      <c r="A3195" s="1" t="s">
        <v>4916</v>
      </c>
      <c r="B3195" s="1" t="str">
        <f ca="1">IFERROR(__xludf.DUMFUNCTION("GOOGLETRANSLATE(A3271,""id"",""en"")"),"Buy Pertalite Solar Mandatory List of  July Applications")</f>
        <v>Buy Pertalite Solar Mandatory List of  July Applications</v>
      </c>
    </row>
    <row r="3196" spans="1:2" x14ac:dyDescent="0.2">
      <c r="A3196" s="1" t="s">
        <v>199</v>
      </c>
      <c r="B3196" s="1" t="str">
        <f ca="1">IFERROR(__xludf.DUMFUNCTION("GOOGLETRANSLATE(A3272,""id"",""en"")"),"wisely arise safe for the hp area of ​​the gas station gas station.")</f>
        <v>wisely arise safe for the hp area of ​​the gas station gas station.</v>
      </c>
    </row>
    <row r="3197" spans="1:2" x14ac:dyDescent="0.2">
      <c r="A3197" s="1" t="s">
        <v>4917</v>
      </c>
      <c r="B3197" s="1" t="str">
        <f ca="1">IFERROR(__xludf.DUMFUNCTION("GOOGLETRANSLATE(A3273,""id"",""en"")"),"Aihh, I'm just gaptek how I am sad, Gin njirr  cellphone downloads the app.")</f>
        <v>Aihh, I'm just gaptek how I am sad, Gin njirr  cellphone downloads the app.</v>
      </c>
    </row>
    <row r="3198" spans="1:2" x14ac:dyDescent="0.2">
      <c r="A3198" s="1" t="s">
        <v>4918</v>
      </c>
      <c r="B3198" s="1" t="str">
        <f ca="1">IFERROR(__xludf.DUMFUNCTION("GOOGLETRANSLATE(A3274,""id"",""en"")")," is obliged to buy pertalite using  barcode print difficult, let's get difficult")</f>
        <v xml:space="preserve"> is obliged to buy pertalite using  barcode print difficult, let's get difficult</v>
      </c>
    </row>
    <row r="3199" spans="1:2" x14ac:dyDescent="0.2">
      <c r="A3199" s="1" t="s">
        <v>998</v>
      </c>
      <c r="B3199" s="1" t="str">
        <f ca="1">IFERROR(__xludf.DUMFUNCTION("GOOGLETRANSLATE(A3275,""id"",""en"")")," Spokesman Community Buy Gasoline Type of Pertalite Solar Subsidy")</f>
        <v xml:space="preserve"> Spokesman Community Buy Gasoline Type of Pertalite Solar Subsidy</v>
      </c>
    </row>
    <row r="3200" spans="1:2" x14ac:dyDescent="0.2">
      <c r="A3200" s="1" t="s">
        <v>4919</v>
      </c>
      <c r="B3200" s="1" t="str">
        <f ca="1">IFERROR(__xludf.DUMFUNCTION("GOOGLETRANSLATE(A3276,""id"",""en"")"),"Come download ")</f>
        <v xml:space="preserve">Come download </v>
      </c>
    </row>
    <row r="3201" spans="1:2" x14ac:dyDescent="0.2">
      <c r="A3201" s="1" t="s">
        <v>4920</v>
      </c>
      <c r="B3201" s="1" t="str">
        <f ca="1">IFERROR(__xludf.DUMFUNCTION("GOOGLETRANSLATE(A3277,""id"",""en"")"),"Buy LPG Kg List  Nyusain the People Ajah Oohh The Command of the Poor Briefing Program Rejects the  Refusation")</f>
        <v>Buy LPG Kg List  Nyusain the People Ajah Oohh The Command of the Poor Briefing Program Rejects the  Refusation</v>
      </c>
    </row>
    <row r="3202" spans="1:2" x14ac:dyDescent="0.2">
      <c r="A3202" s="1" t="s">
        <v>200</v>
      </c>
      <c r="B3202" s="1" t="str">
        <f ca="1">IFERROR(__xludf.DUMFUNCTION("GOOGLETRANSLATE(A3278,""id"",""en"")"),"REGISTER FOR DOCUMENTS KTP STNK DOK Document Supporting Open Websi Applications")</f>
        <v>REGISTER FOR DOCUMENTS KTP STNK DOK Document Supporting Open Websi Applications</v>
      </c>
    </row>
    <row r="3203" spans="1:2" x14ac:dyDescent="0.2">
      <c r="A3203" s="1" t="s">
        <v>4921</v>
      </c>
      <c r="B3203" s="1" t="str">
        <f ca="1">IFERROR(__xludf.DUMFUNCTION("GOOGLETRANSLATE(A3279,""id"",""en"")")," Spokesman Community Buy Gasoline Types of Pertalite Solar Subsidies LPG Gas Measuring Kg Kg Melon Gas Must Register the  Application Prevent Salah Salang")</f>
        <v xml:space="preserve"> Spokesman Community Buy Gasoline Types of Pertalite Solar Subsidies LPG Gas Measuring Kg Kg Melon Gas Must Register the  Application Prevent Salah Salang</v>
      </c>
    </row>
    <row r="3204" spans="1:2" x14ac:dyDescent="0.2">
      <c r="A3204" s="1" t="s">
        <v>4922</v>
      </c>
      <c r="B3204" s="1" t="str">
        <f ca="1">IFERROR(__xludf.DUMFUNCTION("GOOGLETRANSLATE(A3280,""id"",""en"")"),"Sleeping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05" spans="1:2" x14ac:dyDescent="0.2">
      <c r="A3205" s="1" t="s">
        <v>4922</v>
      </c>
      <c r="B3205" s="1" t="str">
        <f ca="1">IFERROR(__xludf.DUMFUNCTION("GOOGLETRANSLATE(A3281,""id"",""en"")"),"Sleeping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06" spans="1:2" x14ac:dyDescent="0.2">
      <c r="A3206" s="1" t="s">
        <v>4922</v>
      </c>
      <c r="B3206" s="1" t="str">
        <f ca="1">IFERROR(__xludf.DUMFUNCTION("GOOGLETRANSLATE(A3282,""id"",""en"")"),"Sleeping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07" spans="1:2" x14ac:dyDescent="0.2">
      <c r="A3207" s="1" t="s">
        <v>4922</v>
      </c>
      <c r="B3207" s="1" t="str">
        <f ca="1">IFERROR(__xludf.DUMFUNCTION("GOOGLETRANSLATE(A3283,""id"",""en"")"),"Sleeping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08" spans="1:2" x14ac:dyDescent="0.2">
      <c r="A3208" s="1" t="s">
        <v>4923</v>
      </c>
      <c r="B3208" s="1" t="str">
        <f ca="1">IFERROR(__xludf.DUMFUNCTION("GOOGLETRANSLATE(A3284,""id"",""en"")"),"Pertalite Buy LPG Kg Using ")</f>
        <v xml:space="preserve">Pertalite Buy LPG Kg Using </v>
      </c>
    </row>
    <row r="3209" spans="1:2" x14ac:dyDescent="0.2">
      <c r="A3209" s="1" t="s">
        <v>4924</v>
      </c>
      <c r="B3209" s="1" t="str">
        <f ca="1">IFERROR(__xludf.DUMFUNCTION("GOOGLETRANSLATE(A3285,""id"",""en"")"),"Dsini  TTP Utilized Sophisticated Data Scanner Data Database Application  Synchronous SCRA Relatives with NIK Bridges whose sophisticated cellphones Check the data scra visual that does not have a cellphone buy gasoline distribution "&amp;"ttp trkontrol")</f>
        <v>Dsini  TTP Utilized Sophisticated Data Scanner Data Database Application  Synchronous SCRA Relatives with NIK Bridges whose sophisticated cellphones Check the data scra visual that does not have a cellphone buy gasoline distribution ttp trkontrol</v>
      </c>
    </row>
    <row r="3210" spans="1:2" x14ac:dyDescent="0.2">
      <c r="A3210" s="1" t="s">
        <v>4922</v>
      </c>
      <c r="B3210" s="1" t="str">
        <f ca="1">IFERROR(__xludf.DUMFUNCTION("GOOGLETRANSLATE(A3286,""id"",""en"")"),"Sleeping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11" spans="1:2" x14ac:dyDescent="0.2">
      <c r="A3211" s="1" t="s">
        <v>4925</v>
      </c>
      <c r="B3211" s="1" t="str">
        <f ca="1">IFERROR(__xludf.DUMFUNCTION("GOOGLETRANSLATE(A3287,""id"",""en"")"),"and idk how many gas stations on Malang, accept paying Linkaja for  requirements for the contents")</f>
        <v>and idk how many gas stations on Malang, accept paying Linkaja for  requirements for the contents</v>
      </c>
    </row>
    <row r="3212" spans="1:2" x14ac:dyDescent="0.2">
      <c r="A3212" s="1" t="s">
        <v>201</v>
      </c>
      <c r="B3212" s="1" t="str">
        <f ca="1">IFERROR(__xludf.DUMFUNCTION("GOOGLETRANSLATE(A3288,""id"",""en"")")," citizens are heavy to buy gasoline types of Pertalite solar subsidies for LPG Gas Measuring Kg")</f>
        <v xml:space="preserve"> citizens are heavy to buy gasoline types of Pertalite solar subsidies for LPG Gas Measuring Kg</v>
      </c>
    </row>
    <row r="3213" spans="1:2" x14ac:dyDescent="0.2">
      <c r="A3213" s="1" t="s">
        <v>4922</v>
      </c>
      <c r="B3213" s="1" t="str">
        <f ca="1">IFERROR(__xludf.DUMFUNCTION("GOOGLETRANSLATE(A3289,""id"",""en"")"),"Sleeping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14" spans="1:2" x14ac:dyDescent="0.2">
      <c r="A3214" s="1" t="s">
        <v>4922</v>
      </c>
      <c r="B3214" s="1" t="str">
        <f ca="1">IFERROR(__xludf.DUMFUNCTION("GOOGLETRANSLATE(A3290,""id"",""en"")"),"Sleeping thinking about Lontong Sara  mending looking for Cuan Yuk Sayang Bandarwalet Slot Slotgacor Slotgacorhariharii RTP RTPBandarwalet Rtphariini")</f>
        <v>Sleeping thinking about Lontong Sara  mending looking for Cuan Yuk Sayang Bandarwalet Slot Slotgacor Slotgacorhariharii RTP RTPBandarwalet Rtphariini</v>
      </c>
    </row>
    <row r="3215" spans="1:2" x14ac:dyDescent="0.2">
      <c r="A3215" s="1" t="s">
        <v>4926</v>
      </c>
      <c r="B3215" s="1" t="str">
        <f ca="1">IFERROR(__xludf.DUMFUNCTION("GOOGLETRANSLATE(A3291,""id"",""en"")"),"Citizens I have a weight to buy gasoline type Pertalite solar subsidies LPG GAS measuring kg Linkaja applications  application is difficult to access the link link  application owned by an Android smart phone")</f>
        <v>Citizens I have a weight to buy gasoline type Pertalite solar subsidies LPG GAS measuring kg Linkaja applications  application is difficult to access the link link  application owned by an Android smart phone</v>
      </c>
    </row>
    <row r="3216" spans="1:2" x14ac:dyDescent="0.2">
      <c r="A3216" s="1" t="s">
        <v>4927</v>
      </c>
      <c r="B3216" s="1" t="str">
        <f ca="1">IFERROR(__xludf.DUMFUNCTION("GOOGLETRANSLATE(A3292,""id"",""en"")"),"like not just the country just throwing the issue of taking wisely, it's noisy, just stay quiet, but yesterday the first periodite of the  application is tomorrow")</f>
        <v>like not just the country just throwing the issue of taking wisely, it's noisy, just stay quiet, but yesterday the first periodite of the  application is tomorrow</v>
      </c>
    </row>
    <row r="3217" spans="1:2" x14ac:dyDescent="0.2">
      <c r="A3217" s="1" t="s">
        <v>202</v>
      </c>
      <c r="B3217" s="1" t="str">
        <f ca="1">IFERROR(__xludf.DUMFUNCTION("GOOGLETRANSLATE(A3293,""id"",""en"")"),"BREAKING NEWS JULY TRUTION BUY GETTINGS OF PERTALITE SOLAR SUBSIDY OFFICIAL PAY PAY LE")</f>
        <v>BREAKING NEWS JULY TRUTION BUY GETTINGS OF PERTALITE SOLAR SUBSIDY OFFICIAL PAY PAY LE</v>
      </c>
    </row>
    <row r="3218" spans="1:2" x14ac:dyDescent="0.2">
      <c r="A3218" s="1" t="s">
        <v>999</v>
      </c>
      <c r="B3218" s="1" t="str">
        <f ca="1">IFERROR(__xludf.DUMFUNCTION("GOOGLETRANSLATE(A3294,""id"",""en"")"),"Prevent the Salah Salang  Salang Operator Management of Indonesian Oil and Gas Official Mandatory MA")</f>
        <v>Prevent the Salah Salang  Salang Operator Management of Indonesian Oil and Gas Official Mandatory MA</v>
      </c>
    </row>
    <row r="3219" spans="1:2" x14ac:dyDescent="0.2">
      <c r="A3219" s="1" t="s">
        <v>4928</v>
      </c>
      <c r="B3219" s="1" t="str">
        <f ca="1">IFERROR(__xludf.DUMFUNCTION("GOOGLETRANSLATE(A3295,""id"",""en"")"),"Prevent the Salah Salang  Salang Operator Oil and Gas Indonesia Officially Mandatory Community Mandatory Buy Gasoline Type of Pertalite Solar Subsidy Gas LPG Measuring Kg then Registering the  Application")</f>
        <v>Prevent the Salah Salang  Salang Operator Oil and Gas Indonesia Officially Mandatory Community Mandatory Buy Gasoline Type of Pertalite Solar Subsidy Gas LPG Measuring Kg then Registering the  Application</v>
      </c>
    </row>
    <row r="3220" spans="1:2" x14ac:dyDescent="0.2">
      <c r="A3220" s="1" t="s">
        <v>4929</v>
      </c>
      <c r="B3220" s="1" t="str">
        <f ca="1">IFERROR(__xludf.DUMFUNCTION("GOOGLETRANSLATE(A3296,""id"",""en"")"),"Adult Scooter Children Scooter Alloy St Mass Kgs Kgs Collabonatontour Jokowi  Agnezmoboymagnet Sanji Gigi Popo Night Holywings Instagram eh Twitter KISSSI is already in the same thing as Pertalite")</f>
        <v>Adult Scooter Children Scooter Alloy St Mass Kgs Kgs Collabonatontour Jokowi  Agnezmoboymagnet Sanji Gigi Popo Night Holywings Instagram eh Twitter KISSSI is already in the same thing as Pertalite</v>
      </c>
    </row>
    <row r="3221" spans="1:2" x14ac:dyDescent="0.2">
      <c r="A3221" s="1" t="s">
        <v>203</v>
      </c>
      <c r="B3221" s="1" t="str">
        <f ca="1">IFERROR(__xludf.DUMFUNCTION("GOOGLETRANSLATE(A3297,""id"",""en"")"),"Difficult to work")</f>
        <v>Difficult to work</v>
      </c>
    </row>
    <row r="3222" spans="1:2" x14ac:dyDescent="0.2">
      <c r="A3222" s="1" t="s">
        <v>4930</v>
      </c>
      <c r="B3222" s="1" t="str">
        <f ca="1">IFERROR(__xludf.DUMFUNCTION("GOOGLETRANSLATE(A3298,""id"",""en"")"),"BREAKING NEWS JULI TRAIN BUY PASI PASIA PERTALITE SOLAR OFFICIAL SUBSIDI PAY LINKAJA  APPLICATION NEW NEW NEWS BUY BUY LUMBER GAS MEASURE KG LINKAJA  APPLICATION")</f>
        <v>BREAKING NEWS JULI TRAIN BUY PASI PASIA PERTALITE SOLAR OFFICIAL SUBSIDI PAY LINKAJA  APPLICATION NEW NEW NEWS BUY BUY LUMBER GAS MEASURE KG LINKAJA  APPLICATION</v>
      </c>
    </row>
    <row r="3223" spans="1:2" x14ac:dyDescent="0.2">
      <c r="A3223" s="1" t="s">
        <v>4931</v>
      </c>
      <c r="B3223" s="1" t="str">
        <f ca="1">IFERROR(__xludf.DUMFUNCTION("GOOGLETRANSLATE(A3299,""id"",""en"")"),"Buy Bulk Migor Using the Pedulilat Protected Application Buy Pertalite Solar Using the  Na Application")</f>
        <v>Buy Bulk Migor Using the Pedulilat Protected Application Buy Pertalite Solar Using the  Na Application</v>
      </c>
    </row>
    <row r="3224" spans="1:2" x14ac:dyDescent="0.2">
      <c r="A3224" s="1" t="s">
        <v>4932</v>
      </c>
      <c r="B3224" s="1" t="str">
        <f ca="1">IFERROR(__xludf.DUMFUNCTION("GOOGLETRANSLATE(A3300,""id"",""en"")"),"Trs tad fun check the app  amp link just play store app, there must be a lot of people who have to read the review, so I can make bnr, you have to mastery")</f>
        <v>Trs tad fun check the app  amp link just play store app, there must be a lot of people who have to read the review, so I can make bnr, you have to mastery</v>
      </c>
    </row>
    <row r="3225" spans="1:2" x14ac:dyDescent="0.2">
      <c r="A3225" s="1" t="s">
        <v>4933</v>
      </c>
      <c r="B3225" s="1" t="str">
        <f ca="1">IFERROR(__xludf.DUMFUNCTION("GOOGLETRANSLATE(A3301,""id"",""en"")"),"Want to subsidize cooking oil amp pertalite to the target copying application for protecting  buying an application access application android mobile group that receives Android subsidies")</f>
        <v>Want to subsidize cooking oil amp pertalite to the target copying application for protecting  buying an application access application android mobile group that receives Android subsidies</v>
      </c>
    </row>
    <row r="3226" spans="1:2" x14ac:dyDescent="0.2">
      <c r="A3226" s="1" t="s">
        <v>4934</v>
      </c>
      <c r="B3226" s="1" t="str">
        <f ca="1">IFERROR(__xludf.DUMFUNCTION("GOOGLETRANSLATE(A3302,""id"",""en"")"),"frantically  family is already chatting , good, how about the contents etc.")</f>
        <v>frantically  family is already chatting , good, how about the contents etc.</v>
      </c>
    </row>
    <row r="3227" spans="1:2" x14ac:dyDescent="0.2">
      <c r="A3227" s="1" t="s">
        <v>4935</v>
      </c>
      <c r="B3227" s="1" t="str">
        <f ca="1">IFERROR(__xludf.DUMFUNCTION("GOOGLETRANSLATE(A3303,""id"",""en"")"),"people who are rich in social assistance sample  program")</f>
        <v>people who are rich in social assistance sample  program</v>
      </c>
    </row>
    <row r="3228" spans="1:2" x14ac:dyDescent="0.2">
      <c r="A3228" s="1" t="s">
        <v>4234</v>
      </c>
      <c r="B3228" s="1" t="str">
        <f ca="1">IFERROR(__xludf.DUMFUNCTION("GOOGLETRANSLATE(A3304,""id"",""en"")"),"Buy Pertalite Solar Mandatory List of  July Applications Can POLLINGELSHINTA")</f>
        <v>Buy Pertalite Solar Mandatory List of  July Applications Can POLLINGELSHINTA</v>
      </c>
    </row>
    <row r="3229" spans="1:2" x14ac:dyDescent="0.2">
      <c r="A3229" s="1" t="s">
        <v>4936</v>
      </c>
      <c r="B3229" s="1" t="str">
        <f ca="1">IFERROR(__xludf.DUMFUNCTION("GOOGLETRANSLATE(A3305,""id"",""en"")"),"Dateng directly Pom what are you told to use , hp tilulit tilulit, the angkot driver is the old old -fashioned cellphone")</f>
        <v>Dateng directly Pom what are you told to use , hp tilulit tilulit, the angkot driver is the old old -fashioned cellphone</v>
      </c>
    </row>
    <row r="3230" spans="1:2" x14ac:dyDescent="0.2">
      <c r="A3230" s="1" t="s">
        <v>4937</v>
      </c>
      <c r="B3230" s="1" t="str">
        <f ca="1">IFERROR(__xludf.DUMFUNCTION("GOOGLETRANSLATE(A3306,""id"",""en"")"),"Pampang gas station is set not playing cellphone just now IG read carefully from Lipi Yuyu said that if access to  apps minimal explosive except trigger but he can't guarantee the cellphone is safe")</f>
        <v>Pampang gas station is set not playing cellphone just now IG read carefully from Lipi Yuyu said that if access to  apps minimal explosive except trigger but he can't guarantee the cellphone is safe</v>
      </c>
    </row>
    <row r="3231" spans="1:2" x14ac:dyDescent="0.2">
      <c r="A3231" s="1" t="s">
        <v>204</v>
      </c>
      <c r="B3231" s="1" t="str">
        <f ca="1">IFERROR(__xludf.DUMFUNCTION("GOOGLETRANSLATE(A3307,""id"",""en"")"),"Residents are a lot of internet potato hp hitching a wifi command to make registra")</f>
        <v>Residents are a lot of internet potato hp hitching a wifi command to make registra</v>
      </c>
    </row>
    <row r="3232" spans="1:2" x14ac:dyDescent="0.2">
      <c r="A3232" s="1" t="s">
        <v>4938</v>
      </c>
      <c r="B3232" s="1" t="str">
        <f ca="1">IFERROR(__xludf.DUMFUNCTION("GOOGLETRANSLATE(A3308,""id"",""en"")"),"List of  Subsidies SIMAK is of course the requirement for buying a Solar Subsidy Pertalite")</f>
        <v>List of  Subsidies SIMAK is of course the requirement for buying a Solar Subsidy Pertalite</v>
      </c>
    </row>
    <row r="3233" spans="1:2" x14ac:dyDescent="0.2">
      <c r="A3233" s="1" t="s">
        <v>4939</v>
      </c>
      <c r="B3233" s="1" t="str">
        <f ca="1">IFERROR(__xludf.DUMFUNCTION("GOOGLETRANSLATE(A3309,""id"",""en"")"),"Pelangi Receives Link Link Credit Deposit, Go Pay Dana GO PAY LINK Link List Ovo Dana Link Just Go Pay Bsi Wa Livechat Promo Wa Msmarvel  Popo Kissesi")</f>
        <v>Pelangi Receives Link Link Credit Deposit, Go Pay Dana GO PAY LINK Link List Ovo Dana Link Just Go Pay Bsi Wa Livechat Promo Wa Msmarvel  Popo Kissesi</v>
      </c>
    </row>
    <row r="3234" spans="1:2" x14ac:dyDescent="0.2">
      <c r="A3234" s="1" t="s">
        <v>4940</v>
      </c>
      <c r="B3234" s="1" t="str">
        <f ca="1">IFERROR(__xludf.DUMFUNCTION("GOOGLETRANSLATE(A3310,""id"",""en"")"),"COLLABONATIONTOR Jokowi  Agnezmoboymagnet Sanji Gigi Popo Night Holywings Instagram eh Twitter KISSI is already in all")</f>
        <v>COLLABONATIONTOR Jokowi  Agnezmoboymagnet Sanji Gigi Popo Night Holywings Instagram eh Twitter KISSI is already in all</v>
      </c>
    </row>
    <row r="3235" spans="1:2" x14ac:dyDescent="0.2">
      <c r="A3235" s="1" t="s">
        <v>4941</v>
      </c>
      <c r="B3235" s="1" t="str">
        <f ca="1">IFERROR(__xludf.DUMFUNCTION("GOOGLETRANSLATE(A3311,""id"",""en"")"),"Pelangi Receives Link Link Credit Deposit, Go Pay Dana GO PAY BRI Link List Ovo Dana Link Just Go Pay Bsi Wa Livechat Promo Wa Msmarvel  Popo Sanji Gigi")</f>
        <v>Pelangi Receives Link Link Credit Deposit, Go Pay Dana GO PAY BRI Link List Ovo Dana Link Just Go Pay Bsi Wa Livechat Promo Wa Msmarvel  Popo Sanji Gigi</v>
      </c>
    </row>
    <row r="3236" spans="1:2" x14ac:dyDescent="0.2">
      <c r="A3236" s="1" t="s">
        <v>4942</v>
      </c>
      <c r="B3236" s="1" t="str">
        <f ca="1">IFERROR(__xludf.DUMFUNCTION("GOOGLETRANSLATE(A3312,""id"",""en"")"),"Residents are a lot of internet potato cellphones hitching a wifi command to make a  registration so that it is just a simple logic not to pass the surprise that the KTP KTP is functions")</f>
        <v>Residents are a lot of internet potato cellphones hitching a wifi command to make a  registration so that it is just a simple logic not to pass the surprise that the KTP KTP is functions</v>
      </c>
    </row>
    <row r="3237" spans="1:2" x14ac:dyDescent="0.2">
      <c r="A3237" s="1" t="s">
        <v>4943</v>
      </c>
      <c r="B3237" s="1" t="str">
        <f ca="1">IFERROR(__xludf.DUMFUNCTION("GOOGLETRANSLATE(A3313,""id"",""en"")"),"not worried about those who haven't understood for the cellphone of  application, yes, friends of , also provide booth outlines, people who are difficult to access the internet")</f>
        <v>not worried about those who haven't understood for the cellphone of  application, yes, friends of , also provide booth outlines, people who are difficult to access the internet</v>
      </c>
    </row>
    <row r="3238" spans="1:2" x14ac:dyDescent="0.2">
      <c r="A3238" s="1" t="s">
        <v>4944</v>
      </c>
      <c r="B3238" s="1" t="str">
        <f ca="1">IFERROR(__xludf.DUMFUNCTION("GOOGLETRANSLATE(A3314,""id"",""en"")"),"After the news of buying pertalite must use  app that pays using the pertalite link to the middle of the middle, so I think of using the app.")</f>
        <v>After the news of buying pertalite must use  app that pays using the pertalite link to the middle of the middle, so I think of using the app.</v>
      </c>
    </row>
    <row r="3239" spans="1:2" x14ac:dyDescent="0.2">
      <c r="A3239" s="1" t="s">
        <v>4945</v>
      </c>
      <c r="B3239" s="1" t="str">
        <f ca="1">IFERROR(__xludf.DUMFUNCTION("GOOGLETRANSLATE(A3315,""id"",""en"")"),"Buy LPG Kg List  Set Crazy People Sllu Yang Salang The People's Sucking Regime of People CopotmenDongkongok Copotmenteridongkongok")</f>
        <v>Buy LPG Kg List  Set Crazy People Sllu Yang Salang The People's Sucking Regime of People CopotmenDongkongok Copotmenteridongkongok</v>
      </c>
    </row>
    <row r="3240" spans="1:2" x14ac:dyDescent="0.2">
      <c r="A3240" s="1" t="s">
        <v>4946</v>
      </c>
      <c r="B3240" s="1" t="str">
        <f ca="1">IFERROR(__xludf.DUMFUNCTION("GOOGLETRANSLATE(A3316,""id"",""en"")"),"Sambal Makes appetite guaranteeing Sambal Sambal Geprek Fish Geprek Already Eid al -Adha Popo Popo Sanji Take Care Jokowi Amp Iriana in  Twitter BKN Instagram Collabonatontour")</f>
        <v>Sambal Makes appetite guaranteeing Sambal Sambal Geprek Fish Geprek Already Eid al -Adha Popo Popo Sanji Take Care Jokowi Amp Iriana in  Twitter BKN Instagram Collabonatontour</v>
      </c>
    </row>
    <row r="3241" spans="1:2" x14ac:dyDescent="0.2">
      <c r="A3241" s="1" t="s">
        <v>4947</v>
      </c>
      <c r="B3241" s="1" t="str">
        <f ca="1">IFERROR(__xludf.DUMFUNCTION("GOOGLETRANSLATE(A3317,""id"",""en"")"),"Morning Gaes Motor Viar Roda New Karya Bit Red Business Support On The Road Jawa Onepiece Sanji Night Peach Popo Eid Al -Adha Take Care Jokowi Amp Iriana in  Twitter BKN Instagram Has Along")</f>
        <v>Morning Gaes Motor Viar Roda New Karya Bit Red Business Support On The Road Jawa Onepiece Sanji Night Peach Popo Eid Al -Adha Take Care Jokowi Amp Iriana in  Twitter BKN Instagram Has Along</v>
      </c>
    </row>
    <row r="3242" spans="1:2" x14ac:dyDescent="0.2">
      <c r="A3242" s="1" t="s">
        <v>4948</v>
      </c>
      <c r="B3242" s="1" t="str">
        <f ca="1">IFERROR(__xludf.DUMFUNCTION("GOOGLETRANSLATE(A3318,""id"",""en"")"),"Buy Pertalite City Mandatory National Application BeritaBaru BeritaBaruco  Pertalite")</f>
        <v>Buy Pertalite City Mandatory National Application BeritaBaru BeritaBaruco  Pertalite</v>
      </c>
    </row>
    <row r="3243" spans="1:2" x14ac:dyDescent="0.2">
      <c r="A3243" s="1" t="s">
        <v>4949</v>
      </c>
      <c r="B3243" s="1" t="str">
        <f ca="1">IFERROR(__xludf.DUMFUNCTION("GOOGLETRANSLATE(A3319,""id"",""en"")"),"The application is already as much as  radio is pounding the program using the  application can be discounted, don't know the way the program is not a program")</f>
        <v>The application is already as much as  radio is pounding the program using the  application can be discounted, don't know the way the program is not a program</v>
      </c>
    </row>
    <row r="3244" spans="1:2" x14ac:dyDescent="0.2">
      <c r="A3244" s="1" t="s">
        <v>4950</v>
      </c>
      <c r="B3244" s="1" t="str">
        <f ca="1">IFERROR(__xludf.DUMFUNCTION("GOOGLETRANSLATE(A3320,""id"",""en"")"),"Adaptation of Technology to Understand Wise Indonesian Society Literacy Subsidized Salariki July  Open List of  Energizing Energizingyouurfuture Websites")</f>
        <v>Adaptation of Technology to Understand Wise Indonesian Society Literacy Subsidized Salariki July  Open List of  Energizing Energizingyouurfuture Websites</v>
      </c>
    </row>
    <row r="3245" spans="1:2" x14ac:dyDescent="0.2">
      <c r="A3245" s="1" t="s">
        <v>4951</v>
      </c>
      <c r="B3245" s="1" t="str">
        <f ca="1">IFERROR(__xludf.DUMFUNCTION("GOOGLETRANSLATE(A3321,""id"",""en"")")," Pertalite , I hope to take the breakup of the apart to break up easily residents")</f>
        <v xml:space="preserve"> Pertalite , I hope to take the breakup of the apart to break up easily residents</v>
      </c>
    </row>
    <row r="3246" spans="1:2" x14ac:dyDescent="0.2">
      <c r="A3246" s="1" t="s">
        <v>4952</v>
      </c>
      <c r="B3246" s="1" t="str">
        <f ca="1">IFERROR(__xludf.DUMFUNCTION("GOOGLETRANSLATE(A3322,""id"",""en"")")," is good, it is digitized etc. Assessing the target for the use of parents to be difficult with the technology of the dangers for gas stations if tracked for subsidies using KTP huh")</f>
        <v xml:space="preserve"> is good, it is digitized etc. Assessing the target for the use of parents to be difficult with the technology of the dangers for gas stations if tracked for subsidies using KTP huh</v>
      </c>
    </row>
    <row r="3247" spans="1:2" x14ac:dyDescent="0.2">
      <c r="A3247" s="1" t="s">
        <v>4953</v>
      </c>
      <c r="B3247" s="1" t="str">
        <f ca="1">IFERROR(__xludf.DUMFUNCTION("GOOGLETRANSLATE(A3323,""id"",""en"")"),"Night eh morning fyi sandals declan skin slides for soft soft men comfortable using modern stylish layers of slippery rubber lapis already eid al -adha take care jokowi amp Iriana in  Twitter BKN Instagram")</f>
        <v>Night eh morning fyi sandals declan skin slides for soft soft men comfortable using modern stylish layers of slippery rubber lapis already eid al -adha take care jokowi amp Iriana in  Twitter BKN Instagram</v>
      </c>
    </row>
    <row r="3248" spans="1:2" x14ac:dyDescent="0.2">
      <c r="A3248" s="1" t="s">
        <v>4954</v>
      </c>
      <c r="B3248" s="1" t="str">
        <f ca="1">IFERROR(__xludf.DUMFUNCTION("GOOGLETRANSLATE(A3324,""id"",""en"")"),"Pnya apps  coz promo bli pertanax field gas station Bnyk Alas Machine")</f>
        <v>Pnya apps  coz promo bli pertanax field gas station Bnyk Alas Machine</v>
      </c>
    </row>
    <row r="3249" spans="1:2" x14ac:dyDescent="0.2">
      <c r="A3249" s="1" t="s">
        <v>4955</v>
      </c>
      <c r="B3249" s="1" t="str">
        <f ca="1">IFERROR(__xludf.DUMFUNCTION("GOOGLETRANSLATE(A3325,""id"",""en"")")," Easily Register BBM Subsidies of  National Website BeritaBaru BeritaBaruco Jatimberitabaruco ")</f>
        <v xml:space="preserve"> Easily Register BBM Subsidies of  National Website BeritaBaru BeritaBaruco Jatimberitabaruco </v>
      </c>
    </row>
    <row r="3250" spans="1:2" x14ac:dyDescent="0.2">
      <c r="A3250" s="1" t="s">
        <v>4956</v>
      </c>
      <c r="B3250" s="1" t="str">
        <f ca="1">IFERROR(__xludf.DUMFUNCTION("GOOGLETRANSLATE(A3326,""id"",""en"")"),"Jokowi is really the best tea dear  sad")</f>
        <v>Jokowi is really the best tea dear  sad</v>
      </c>
    </row>
    <row r="3251" spans="1:2" x14ac:dyDescent="0.2">
      <c r="A3251" s="1" t="s">
        <v>4957</v>
      </c>
      <c r="B3251" s="1" t="str">
        <f ca="1">IFERROR(__xludf.DUMFUNCTION("GOOGLETRANSLATE(A3327,""id"",""en"")"),"Mayan Download the  Subscribe RBU Application Month Pay State Debt Wkowkwokwow")</f>
        <v>Mayan Download the  Subscribe RBU Application Month Pay State Debt Wkowkwokwow</v>
      </c>
    </row>
    <row r="3252" spans="1:2" x14ac:dyDescent="0.2">
      <c r="A3252" s="1" t="s">
        <v>4958</v>
      </c>
      <c r="B3252" s="1" t="str">
        <f ca="1">IFERROR(__xludf.DUMFUNCTION("GOOGLETRANSLATE(A3328,""id"",""en"")"),"waiting for news news from the apple of the app  classic leakage of Wakanda State Problem")</f>
        <v>waiting for news news from the apple of the app  classic leakage of Wakanda State Problem</v>
      </c>
    </row>
    <row r="3253" spans="1:2" x14ac:dyDescent="0.2">
      <c r="A3253" s="1" t="s">
        <v>4959</v>
      </c>
      <c r="B3253" s="1" t="str">
        <f ca="1">IFERROR(__xludf.DUMFUNCTION("GOOGLETRANSLATE(A3329,""id"",""en"")")," already sells the contents of the solar transport truck LPG Kg Kg gas is required to pay using  March Test Trial Buy LPG Kg Kg trial area")</f>
        <v xml:space="preserve"> already sells the contents of the solar transport truck LPG Kg Kg gas is required to pay using  March Test Trial Buy LPG Kg Kg trial area</v>
      </c>
    </row>
    <row r="3254" spans="1:2" x14ac:dyDescent="0.2">
      <c r="A3254" s="1" t="s">
        <v>4960</v>
      </c>
      <c r="B3254" s="1" t="str">
        <f ca="1">IFERROR(__xludf.DUMFUNCTION("GOOGLETRANSLATE(A3330,""id"",""en"")"),"Splashy, buy pertalite using  the news thread through the net")</f>
        <v>Splashy, buy pertalite using  the news thread through the net</v>
      </c>
    </row>
    <row r="3255" spans="1:2" x14ac:dyDescent="0.2">
      <c r="A3255" s="1" t="s">
        <v>205</v>
      </c>
      <c r="B3255" s="1" t="str">
        <f ca="1">IFERROR(__xludf.DUMFUNCTION("GOOGLETRANSLATE(A3331,""id"",""en"")"),"Indo Netizen Possessive Turning a Good Performance Auto Ngehpres like a boyfriend inviting Holywings to be paid")</f>
        <v>Indo Netizen Possessive Turning a Good Performance Auto Ngehpres like a boyfriend inviting Holywings to be paid</v>
      </c>
    </row>
    <row r="3256" spans="1:2" x14ac:dyDescent="0.2">
      <c r="A3256" s="1" t="s">
        <v>4961</v>
      </c>
      <c r="B3256" s="1" t="str">
        <f ca="1">IFERROR(__xludf.DUMFUNCTION("GOOGLETRANSLATE(A3332,""id"",""en"")"),"if you buy subsidized fuel using  apk just make an account error hmm")</f>
        <v>if you buy subsidized fuel using  apk just make an account error hmm</v>
      </c>
    </row>
    <row r="3257" spans="1:2" x14ac:dyDescent="0.2">
      <c r="A3257" s="1" t="s">
        <v>4962</v>
      </c>
      <c r="B3257" s="1" t="str">
        <f ca="1">IFERROR(__xludf.DUMFUNCTION("GOOGLETRANSLATE(A3333,""id"",""en"")"),"Organda City Sukabumi HEAVY OF  APPROVAL")</f>
        <v>Organda City Sukabumi HEAVY OF  APPROVAL</v>
      </c>
    </row>
    <row r="3258" spans="1:2" x14ac:dyDescent="0.2">
      <c r="A3258" s="1" t="s">
        <v>4963</v>
      </c>
      <c r="B3258" s="1" t="str">
        <f ca="1">IFERROR(__xludf.DUMFUNCTION("GOOGLETRANSLATE(A3334,""id"",""en"")"),"Women sometimes forget how the price of Muhammadiyah Taehyung Popo Lontong Instagram Jhope More  Btsintheseom Persik Kalong")</f>
        <v>Women sometimes forget how the price of Muhammadiyah Taehyung Popo Lontong Instagram Jhope More  Btsintheseom Persik Kalong</v>
      </c>
    </row>
    <row r="3259" spans="1:2" x14ac:dyDescent="0.2">
      <c r="A3259" s="1" t="s">
        <v>1000</v>
      </c>
      <c r="B3259" s="1" t="str">
        <f ca="1">IFERROR(__xludf.DUMFUNCTION("GOOGLETRANSLATE(A3335,""id"",""en"")")," prohibits cellular phone contents of Also  fuel buying material")</f>
        <v xml:space="preserve"> prohibits cellular phone contents of Also  fuel buying material</v>
      </c>
    </row>
    <row r="3260" spans="1:2" x14ac:dyDescent="0.2">
      <c r="A3260" s="1" t="s">
        <v>2448</v>
      </c>
      <c r="B3260" s="1" t="str">
        <f ca="1">IFERROR(__xludf.DUMFUNCTION("GOOGLETRANSLATE(A3336,""id"",""en"")"),"Your dick makes  just waste money, just crazy in using 's app, need the internet")</f>
        <v>Your dick makes  just waste money, just crazy in using 's app, need the internet</v>
      </c>
    </row>
    <row r="3261" spans="1:2" x14ac:dyDescent="0.2">
      <c r="A3261" s="1" t="s">
        <v>4727</v>
      </c>
      <c r="B3261" s="1" t="str">
        <f ca="1">IFERROR(__xludf.DUMFUNCTION("GOOGLETRANSLATE(A3337,""id"",""en"")"),"Buy BBM, Make  ITUH APK APK AMPELINNYAH FREE")</f>
        <v>Buy BBM, Make  ITUH APK APK AMPELINNYAH FREE</v>
      </c>
    </row>
    <row r="3262" spans="1:2" x14ac:dyDescent="0.2">
      <c r="A3262" s="1" t="s">
        <v>2930</v>
      </c>
      <c r="B3262" s="1" t="str">
        <f ca="1">IFERROR(__xludf.DUMFUNCTION("GOOGLETRANSLATE(A3338,""id"",""en"")"),"Please stop the mechanism for buying BBM subsidized list applications  has not been")</f>
        <v>Please stop the mechanism for buying BBM subsidized list applications  has not been</v>
      </c>
    </row>
    <row r="3263" spans="1:2" x14ac:dyDescent="0.2">
      <c r="A3263" s="1" t="s">
        <v>206</v>
      </c>
      <c r="B3263" s="1" t="str">
        <f ca="1">IFERROR(__xludf.DUMFUNCTION("GOOGLETRANSLATE(A3339,""id"",""en"")"),"Fie Playing Hp Gas Station Council")</f>
        <v>Fie Playing Hp Gas Station Council</v>
      </c>
    </row>
    <row r="3264" spans="1:2" x14ac:dyDescent="0.2">
      <c r="A3264" s="1" t="s">
        <v>207</v>
      </c>
      <c r="B3264" s="1" t="str">
        <f ca="1">IFERROR(__xludf.DUMFUNCTION("GOOGLETRANSLATE(A3340,""id"",""en"")"),"Bandung gas station is queuing intentionally serving the task pump to move to the contents of Pertamax if")</f>
        <v>Bandung gas station is queuing intentionally serving the task pump to move to the contents of Pertamax if</v>
      </c>
    </row>
    <row r="3265" spans="1:2" x14ac:dyDescent="0.2">
      <c r="A3265" s="1" t="s">
        <v>1001</v>
      </c>
      <c r="B3265" s="1" t="str">
        <f ca="1">IFERROR(__xludf.DUMFUNCTION("GOOGLETRANSLATE(A3341,""id"",""en"")")," era ahok is easy")</f>
        <v xml:space="preserve"> era ahok is easy</v>
      </c>
    </row>
    <row r="3266" spans="1:2" x14ac:dyDescent="0.2">
      <c r="A3266" s="1" t="s">
        <v>995</v>
      </c>
      <c r="B3266" s="1" t="str">
        <f ca="1">IFERROR(__xludf.DUMFUNCTION("GOOGLETRANSLATE(A3342,""id"",""en"")"),"only OOT  obey mahzab complicated commands are difficult huh")</f>
        <v>only OOT  obey mahzab complicated commands are difficult huh</v>
      </c>
    </row>
    <row r="3267" spans="1:2" x14ac:dyDescent="0.2">
      <c r="A3267" s="1" t="s">
        <v>1002</v>
      </c>
      <c r="B3267" s="1" t="str">
        <f ca="1">IFERROR(__xludf.DUMFUNCTION("GOOGLETRANSLATE(A3343,""id"",""en"")"),"Price List of Pertalite Pertamax  Indonesia SPBU")</f>
        <v>Price List of Pertalite Pertamax  Indonesia SPBU</v>
      </c>
    </row>
    <row r="3268" spans="1:2" x14ac:dyDescent="0.2">
      <c r="A3268" s="1" t="s">
        <v>4964</v>
      </c>
      <c r="B3268" s="1" t="str">
        <f ca="1">IFERROR(__xludf.DUMFUNCTION("GOOGLETRANSLATE(A3344,""id"",""en"")"),"PT  Persero appealed to the public to buy BBM Types of Pertalite  Application and then steps to register for the Topnews infographic")</f>
        <v>PT  Persero appealed to the public to buy BBM Types of Pertalite  Application and then steps to register for the Topnews infographic</v>
      </c>
    </row>
    <row r="3269" spans="1:2" x14ac:dyDescent="0.2">
      <c r="A3269" s="1" t="s">
        <v>208</v>
      </c>
      <c r="B3269" s="1" t="str">
        <f ca="1">IFERROR(__xludf.DUMFUNCTION("GOOGLETRANSLATE(A3345,""id"",""en"")"),"Victims Burns casualties Playing Hp Gas Station")</f>
        <v>Victims Burns casualties Playing Hp Gas Station</v>
      </c>
    </row>
    <row r="3270" spans="1:2" x14ac:dyDescent="0.2">
      <c r="A3270" s="1" t="s">
        <v>4965</v>
      </c>
      <c r="B3270" s="1" t="str">
        <f ca="1">IFERROR(__xludf.DUMFUNCTION("GOOGLETRANSLATE(A3346,""id"",""en"")"),"JULI BUY BBM Pertalite Solar owned by QR Code  List according to BBM Subsidies Community Sasar Read Complete List Trans Update Friend So ")</f>
        <v xml:space="preserve">JULI BUY BBM Pertalite Solar owned by QR Code  List according to BBM Subsidies Community Sasar Read Complete List Trans Update Friend So </v>
      </c>
    </row>
    <row r="3271" spans="1:2" x14ac:dyDescent="0.2">
      <c r="A3271" s="1" t="s">
        <v>209</v>
      </c>
      <c r="B3271" s="1" t="str">
        <f ca="1">IFERROR(__xludf.DUMFUNCTION("GOOGLETRANSLATE(A3347,""id"",""en"")"),"Sungsang Drunn's brain")</f>
        <v>Sungsang Drunn's brain</v>
      </c>
    </row>
    <row r="3272" spans="1:2" x14ac:dyDescent="0.2">
      <c r="A3272" s="1" t="s">
        <v>4966</v>
      </c>
      <c r="B3272" s="1" t="str">
        <f ca="1">IFERROR(__xludf.DUMFUNCTION("GOOGLETRANSLATE(A3348,""id"",""en"")"),"Reject the proposal to buy pertalite using   makes it difficult for the people to go down the people's low battery quota not to buy pertalite difficult people")</f>
        <v>Reject the proposal to buy pertalite using   makes it difficult for the people to go down the people's low battery quota not to buy pertalite difficult people</v>
      </c>
    </row>
    <row r="3273" spans="1:2" x14ac:dyDescent="0.2">
      <c r="A3273" s="1" t="s">
        <v>1003</v>
      </c>
      <c r="B3273" s="1" t="str">
        <f ca="1">IFERROR(__xludf.DUMFUNCTION("GOOGLETRANSLATE(A3349,""id"",""en"")"),"told to use  Wifi")</f>
        <v>told to use  Wifi</v>
      </c>
    </row>
    <row r="3274" spans="1:2" x14ac:dyDescent="0.2">
      <c r="A3274" s="1" t="s">
        <v>210</v>
      </c>
      <c r="B3274" s="1" t="str">
        <f ca="1">IFERROR(__xludf.DUMFUNCTION("GOOGLETRANSLATE(A3350,""id"",""en"")"),"breech brain")</f>
        <v>breech brain</v>
      </c>
    </row>
    <row r="3275" spans="1:2" x14ac:dyDescent="0.2">
      <c r="A3275" s="1" t="s">
        <v>4967</v>
      </c>
      <c r="B3275" s="1" t="str">
        <f ca="1">IFERROR(__xludf.DUMFUNCTION("GOOGLETRANSLATE(A3351,""id"",""en"")"),"Just crazy in using  app that needs the internet know in just using   apps July")</f>
        <v>Just crazy in using  app that needs the internet know in just using   apps July</v>
      </c>
    </row>
    <row r="3276" spans="1:2" x14ac:dyDescent="0.2">
      <c r="A3276" s="1" t="s">
        <v>4968</v>
      </c>
      <c r="B3276" s="1" t="str">
        <f ca="1">IFERROR(__xludf.DUMFUNCTION("GOOGLETRANSLATE(A3352,""id"",""en"")")," Jalan Test Trial Salur BBM Subsidy Salang Application  where the community lists July")</f>
        <v xml:space="preserve"> Jalan Test Trial Salur BBM Subsidy Salang Application  where the community lists July</v>
      </c>
    </row>
    <row r="3277" spans="1:2" x14ac:dyDescent="0.2">
      <c r="A3277" s="1" t="s">
        <v>1004</v>
      </c>
      <c r="B3277" s="1" t="str">
        <f ca="1">IFERROR(__xludf.DUMFUNCTION("GOOGLETRANSLATE(A3353,""id"",""en"")"),"Failure to take care of  Rakyat Difficult Djancookkk")</f>
        <v>Failure to take care of  Rakyat Difficult Djancookkk</v>
      </c>
    </row>
    <row r="3278" spans="1:2" x14ac:dyDescent="0.2">
      <c r="A3278" s="1" t="s">
        <v>1005</v>
      </c>
      <c r="B3278" s="1" t="str">
        <f ca="1">IFERROR(__xludf.DUMFUNCTION("GOOGLETRANSLATE(A3354,""id"",""en"")")," Managing Director Patra Niaga Alfian Nasution got  Business Entity Selling Pertalite Solar Obedient Salur BBM Subsidized Salang Quota Order")</f>
        <v xml:space="preserve"> Managing Director Patra Niaga Alfian Nasution got  Business Entity Selling Pertalite Solar Obedient Salur BBM Subsidized Salang Quota Order</v>
      </c>
    </row>
    <row r="3279" spans="1:2" x14ac:dyDescent="0.2">
      <c r="A3279" s="1" t="s">
        <v>4969</v>
      </c>
      <c r="B3279" s="1" t="str">
        <f ca="1">IFERROR(__xludf.DUMFUNCTION("GOOGLETRANSLATE(A3355,""id"",""en"")"),"July the community of implementing  applications  paths of trial trials Salur subsidized Sumbar Province of South Kalimantan, West Java DIY")</f>
        <v>July the community of implementing  applications  paths of trial trials Salur subsidized Sumbar Province of South Kalimantan, West Java DIY</v>
      </c>
    </row>
    <row r="3280" spans="1:2" x14ac:dyDescent="0.2">
      <c r="A3280" s="1" t="s">
        <v>1006</v>
      </c>
      <c r="B3280" s="1" t="str">
        <f ca="1">IFERROR(__xludf.DUMFUNCTION("GOOGLETRANSLATE(A3356,""id"",""en"")"),"PG TUNAS HOPE  TK TUNAS HAPPY  SD SD PLUS MURUNG PUDAK SMP SMP PLUS MURUNG PUDAK SMA SMAN TANJUNG")</f>
        <v>PG TUNAS HOPE  TK TUNAS HAPPY  SD SD PLUS MURUNG PUDAK SMP SMP PLUS MURUNG PUDAK SMA SMAN TANJUNG</v>
      </c>
    </row>
    <row r="3281" spans="1:2" x14ac:dyDescent="0.2">
      <c r="A3281" s="1" t="s">
        <v>1007</v>
      </c>
      <c r="B3281" s="1" t="str">
        <f ca="1">IFERROR(__xludf.DUMFUNCTION("GOOGLETRANSLATE(A3357,""id"",""en"")"),"brp subsidized orders for the type of fuel to open spy people know about the subsidies for the capital of 's production has been efficient")</f>
        <v>brp subsidized orders for the type of fuel to open spy people know about the subsidies for the capital of 's production has been efficient</v>
      </c>
    </row>
    <row r="3282" spans="1:2" x14ac:dyDescent="0.2">
      <c r="A3282" s="1" t="s">
        <v>4970</v>
      </c>
      <c r="B3282" s="1" t="str">
        <f ca="1">IFERROR(__xludf.DUMFUNCTION("GOOGLETRANSLATE(A3358,""id"",""en"")")," Officially Slide Application  Adjust the PERTALITE SOLAR RIGHTS Phase Open July List")</f>
        <v xml:space="preserve"> Officially Slide Application  Adjust the PERTALITE SOLAR RIGHTS Phase Open July List</v>
      </c>
    </row>
    <row r="3283" spans="1:2" x14ac:dyDescent="0.2">
      <c r="A3283" s="1" t="s">
        <v>4971</v>
      </c>
      <c r="B3283" s="1" t="str">
        <f ca="1">IFERROR(__xludf.DUMFUNCTION("GOOGLETRANSLATE(A3359,""id"",""en"")")," innovation  is aimed at buying fuel subsidies for the trial of West Sumatra Province of West Sulawesi West Java DIY")</f>
        <v xml:space="preserve"> innovation  is aimed at buying fuel subsidies for the trial of West Sumatra Province of West Sulawesi West Java DIY</v>
      </c>
    </row>
    <row r="3284" spans="1:2" x14ac:dyDescent="0.2">
      <c r="A3284" s="1" t="s">
        <v>211</v>
      </c>
      <c r="B3284" s="1" t="str">
        <f ca="1">IFERROR(__xludf.DUMFUNCTION("GOOGLETRANSLATE(A3360,""id"",""en"")"),"Minister of BUMN airline flying Pelita Air Layan Millennial subsidiary")</f>
        <v>Minister of BUMN airline flying Pelita Air Layan Millennial subsidiary</v>
      </c>
    </row>
    <row r="3285" spans="1:2" x14ac:dyDescent="0.2">
      <c r="A3285" s="1" t="s">
        <v>4972</v>
      </c>
      <c r="B3285" s="1" t="str">
        <f ca="1">IFERROR(__xludf.DUMFUNCTION("GOOGLETRANSLATE(A3361,""id"",""en"")")," is strange or not a gas station with  ")</f>
        <v xml:space="preserve"> is strange or not a gas station with  </v>
      </c>
    </row>
    <row r="3286" spans="1:2" x14ac:dyDescent="0.2">
      <c r="A3286" s="1" t="s">
        <v>4973</v>
      </c>
      <c r="B3286" s="1" t="str">
        <f ca="1">IFERROR(__xludf.DUMFUNCTION("GOOGLETRANSLATE(A3362,""id"",""en"")"),"staff of BUMN Minister Arya Sinulingga supports  Salur Sasar Sasar Innovation of  Application")</f>
        <v>staff of BUMN Minister Arya Sinulingga supports  Salur Sasar Sasar Innovation of  Application</v>
      </c>
    </row>
    <row r="3287" spans="1:2" x14ac:dyDescent="0.2">
      <c r="A3287" s="1" t="s">
        <v>4974</v>
      </c>
      <c r="B3287" s="1" t="str">
        <f ca="1">IFERROR(__xludf.DUMFUNCTION("GOOGLETRANSLATE(A3363,""id"",""en"")"),"  Brigh Gas Greater")</f>
        <v xml:space="preserve">  Brigh Gas Greater</v>
      </c>
    </row>
    <row r="3288" spans="1:2" x14ac:dyDescent="0.2">
      <c r="A3288" s="1" t="s">
        <v>4975</v>
      </c>
      <c r="B3288" s="1" t="str">
        <f ca="1">IFERROR(__xludf.DUMFUNCTION("GOOGLETRANSLATE(A3364,""id"",""en"")"),"After Downlod  , then buy the cellphone pertalite is turned on")</f>
        <v>After Downlod  , then buy the cellphone pertalite is turned on</v>
      </c>
    </row>
    <row r="3289" spans="1:2" x14ac:dyDescent="0.2">
      <c r="A3289" s="1" t="s">
        <v>1008</v>
      </c>
      <c r="B3289" s="1" t="str">
        <f ca="1">IFERROR(__xludf.DUMFUNCTION("GOOGLETRANSLATE(A3365,""id"",""en"")"),"KSP is worried that 's wise subsidized fuel quota is absorbed")</f>
        <v>KSP is worried that 's wise subsidized fuel quota is absorbed</v>
      </c>
    </row>
    <row r="3290" spans="1:2" x14ac:dyDescent="0.2">
      <c r="A3290" s="1" t="s">
        <v>4976</v>
      </c>
      <c r="B3290" s="1" t="str">
        <f ca="1">IFERROR(__xludf.DUMFUNCTION("GOOGLETRANSLATE(A3366,""id"",""en"")"),"Arya Sinulingga Supports  's main Tax of the People's Favors Difficult Rights to Test for Protecting Pedulians")</f>
        <v>Arya Sinulingga Supports  's main Tax of the People's Favors Difficult Rights to Test for Protecting Pedulians</v>
      </c>
    </row>
    <row r="3291" spans="1:2" x14ac:dyDescent="0.2">
      <c r="A3291" s="1" t="s">
        <v>1009</v>
      </c>
      <c r="B3291" s="1" t="str">
        <f ca="1">IFERROR(__xludf.DUMFUNCTION("GOOGLETRANSLATE(A3367,""id"",""en"")"),"Ahok has been happy to succeed, bro, the commut  salar is your government")</f>
        <v>Ahok has been happy to succeed, bro, the commut  salar is your government</v>
      </c>
    </row>
    <row r="3292" spans="1:2" x14ac:dyDescent="0.2">
      <c r="A3292" s="1" t="s">
        <v>4977</v>
      </c>
      <c r="B3292" s="1" t="str">
        <f ca="1">IFERROR(__xludf.DUMFUNCTION("GOOGLETRANSLATE(A3368,""id"",""en"")"),"wrong innovation   Application of BBM Subsidies Favors Arya Sinulingga Goals for People's Tax Using Hak People")</f>
        <v>wrong innovation   Application of BBM Subsidies Favors Arya Sinulingga Goals for People's Tax Using Hak People</v>
      </c>
    </row>
    <row r="3293" spans="1:2" x14ac:dyDescent="0.2">
      <c r="A3293" s="1" t="s">
        <v>1010</v>
      </c>
      <c r="B3293" s="1" t="str">
        <f ca="1">IFERROR(__xludf.DUMFUNCTION("GOOGLETRANSLATE(A3369,""id"",""en"")")," Register Member Ngak")</f>
        <v xml:space="preserve"> Register Member Ngak</v>
      </c>
    </row>
    <row r="3294" spans="1:2" x14ac:dyDescent="0.2">
      <c r="A3294" s="1" t="s">
        <v>1011</v>
      </c>
      <c r="B3294" s="1" t="str">
        <f ca="1">IFERROR(__xludf.DUMFUNCTION("GOOGLETRANSLATE(A3370,""id"",""en"")"),"the case of the fuss of the  State Application, the Selected Kilafah System")</f>
        <v>the case of the fuss of the  State Application, the Selected Kilafah System</v>
      </c>
    </row>
    <row r="3295" spans="1:2" x14ac:dyDescent="0.2">
      <c r="A3295" s="1" t="s">
        <v>4978</v>
      </c>
      <c r="B3295" s="1" t="str">
        <f ca="1">IFERROR(__xludf.DUMFUNCTION("GOOGLETRANSLATE(A3371,""id"",""en"")"),"In accordance with  implementation of Arya Sinulingga BBM Subsidy Sasar Arya Sinulingga supports  for  to prevent the luxury vehicle for subsidized fuel consumption")</f>
        <v>In accordance with  implementation of Arya Sinulingga BBM Subsidy Sasar Arya Sinulingga supports  for  to prevent the luxury vehicle for subsidized fuel consumption</v>
      </c>
    </row>
    <row r="3296" spans="1:2" x14ac:dyDescent="0.2">
      <c r="A3296" s="1" t="s">
        <v>212</v>
      </c>
      <c r="B3296" s="1" t="str">
        <f ca="1">IFERROR(__xludf.DUMFUNCTION("GOOGLETRANSLATE(A3372,""id"",""en"")"),"BUMN Minister Erick Thohir Airlines Flying Pelita Air Service Millennial Subsidiary")</f>
        <v>BUMN Minister Erick Thohir Airlines Flying Pelita Air Service Millennial Subsidiary</v>
      </c>
    </row>
    <row r="3297" spans="1:2" x14ac:dyDescent="0.2">
      <c r="A3297" s="1" t="s">
        <v>213</v>
      </c>
      <c r="B3297" s="1" t="str">
        <f ca="1">IFERROR(__xludf.DUMFUNCTION("GOOGLETRANSLATE(A3373,""id"",""en"")"),"Gening Bogor Oge euy like gin")</f>
        <v>Gening Bogor Oge euy like gin</v>
      </c>
    </row>
    <row r="3298" spans="1:2" x14ac:dyDescent="0.2">
      <c r="A3298" s="1" t="s">
        <v>4979</v>
      </c>
      <c r="B3298" s="1" t="str">
        <f ca="1">IFERROR(__xludf.DUMFUNCTION("GOOGLETRANSLATE(A3374,""id"",""en"")"),"Arya Sinulingga Staff of the Minister of BUMN  Application Usung  is aimed at receiving fuel subsidized Salang Tax People using Hak people")</f>
        <v>Arya Sinulingga Staff of the Minister of BUMN  Application Usung  is aimed at receiving fuel subsidized Salang Tax People using Hak people</v>
      </c>
    </row>
    <row r="3299" spans="1:2" x14ac:dyDescent="0.2">
      <c r="A3299" s="1" t="s">
        <v>1012</v>
      </c>
      <c r="B3299" s="1" t="str">
        <f ca="1">IFERROR(__xludf.DUMFUNCTION("GOOGLETRANSLATE(A3375,""id"",""en"")"),"Yes  collaborates Brad Jones Racing Supercars Indigenous Round yesterday")</f>
        <v>Yes  collaborates Brad Jones Racing Supercars Indigenous Round yesterday</v>
      </c>
    </row>
    <row r="3300" spans="1:2" x14ac:dyDescent="0.2">
      <c r="A3300" s="1" t="s">
        <v>214</v>
      </c>
      <c r="B3300" s="1" t="str">
        <f ca="1">IFERROR(__xludf.DUMFUNCTION("GOOGLETRANSLATE(A3376,""id"",""en"")"),"oh anti yes")</f>
        <v>oh anti yes</v>
      </c>
    </row>
    <row r="3301" spans="1:2" x14ac:dyDescent="0.2">
      <c r="A3301" s="1" t="s">
        <v>4980</v>
      </c>
      <c r="B3301" s="1" t="str">
        <f ca="1">IFERROR(__xludf.DUMFUNCTION("GOOGLETRANSLATE(A3377,""id"",""en"")"),"I've tried to pay for gasoline using   amp link so far it is delicious to use the gas station, the gas station likes the engine error engine.")</f>
        <v>I've tried to pay for gasoline using   amp link so far it is delicious to use the gas station, the gas station likes the engine error engine.</v>
      </c>
    </row>
    <row r="3302" spans="1:2" x14ac:dyDescent="0.2">
      <c r="A3302" s="1" t="s">
        <v>1013</v>
      </c>
      <c r="B3302" s="1" t="str">
        <f ca="1">IFERROR(__xludf.DUMFUNCTION("GOOGLETRANSLATE(A3378,""id"",""en"")"),"Hii  List")</f>
        <v>Hii  List</v>
      </c>
    </row>
    <row r="3303" spans="1:2" x14ac:dyDescent="0.2">
      <c r="A3303" s="1" t="s">
        <v>1014</v>
      </c>
      <c r="B3303" s="1" t="str">
        <f ca="1">IFERROR(__xludf.DUMFUNCTION("GOOGLETRANSLATE(A3379,""id"",""en"")"),"Bidji  Dah Uninstall Linkaja")</f>
        <v>Bidji  Dah Uninstall Linkaja</v>
      </c>
    </row>
    <row r="3304" spans="1:2" x14ac:dyDescent="0.2">
      <c r="A3304" s="1" t="s">
        <v>1015</v>
      </c>
      <c r="B3304" s="1" t="str">
        <f ca="1">IFERROR(__xludf.DUMFUNCTION("GOOGLETRANSLATE(A3380,""id"",""en"")"),"Askrl now filling in gasoline, I have to do the  app.")</f>
        <v>Askrl now filling in gasoline, I have to do the  app.</v>
      </c>
    </row>
    <row r="3305" spans="1:2" x14ac:dyDescent="0.2">
      <c r="A3305" s="1" t="s">
        <v>1016</v>
      </c>
      <c r="B3305" s="1" t="str">
        <f ca="1">IFERROR(__xludf.DUMFUNCTION("GOOGLETRANSLATE(A3381,""id"",""en"")")," Ep Boreh West Papua Well")</f>
        <v xml:space="preserve"> Ep Boreh West Papua Well</v>
      </c>
    </row>
    <row r="3306" spans="1:2" x14ac:dyDescent="0.2">
      <c r="A3306" s="1" t="s">
        <v>4981</v>
      </c>
      <c r="B3306" s="1" t="str">
        <f ca="1">IFERROR(__xludf.DUMFUNCTION("GOOGLETRANSLATE(A3382,""id"",""en"")")," is tight buying a solar pertalite buying bbm  juli community registration application complete reading")</f>
        <v xml:space="preserve"> is tight buying a solar pertalite buying bbm  juli community registration application complete reading</v>
      </c>
    </row>
    <row r="3307" spans="1:2" x14ac:dyDescent="0.2">
      <c r="A3307" s="1" t="s">
        <v>1017</v>
      </c>
      <c r="B3307" s="1" t="str">
        <f ca="1">IFERROR(__xludf.DUMFUNCTION("GOOGLETRANSLATE(A3383,""id"",""en"")"),"Boyfriend Year Can't Guard Sitting 's Chairs")</f>
        <v>Boyfriend Year Can't Guard Sitting 's Chairs</v>
      </c>
    </row>
    <row r="3308" spans="1:2" x14ac:dyDescent="0.2">
      <c r="A3308" s="1" t="s">
        <v>1018</v>
      </c>
      <c r="B3308" s="1" t="str">
        <f ca="1">IFERROR(__xludf.DUMFUNCTION("GOOGLETRANSLATE(A3384,""id"",""en"")"),"the consequences of investor gas station planting capital gas gas station burning gas stations because of looking for profit")</f>
        <v>the consequences of investor gas station planting capital gas gas station burning gas stations because of looking for profit</v>
      </c>
    </row>
    <row r="3309" spans="1:2" x14ac:dyDescent="0.2">
      <c r="A3309" s="1" t="s">
        <v>1019</v>
      </c>
      <c r="B3309" s="1" t="str">
        <f ca="1">IFERROR(__xludf.DUMFUNCTION("GOOGLETRANSLATE(A3385,""id"",""en"")"),"the consequences of investor gas station planting capital gas gas station burning gas stations because of looking for profit together")</f>
        <v>the consequences of investor gas station planting capital gas gas station burning gas stations because of looking for profit together</v>
      </c>
    </row>
    <row r="3310" spans="1:2" x14ac:dyDescent="0.2">
      <c r="A3310" s="1" t="s">
        <v>4982</v>
      </c>
      <c r="B3310" s="1" t="str">
        <f ca="1">IFERROR(__xludf.DUMFUNCTION("GOOGLETRANSLATE(A3386,""id"",""en"")"),"waiting for the news of the explosive gas station to open the   application")</f>
        <v>waiting for the news of the explosive gas station to open the   application</v>
      </c>
    </row>
    <row r="3311" spans="1:2" x14ac:dyDescent="0.2">
      <c r="A3311" s="1" t="s">
        <v>215</v>
      </c>
      <c r="B3311" s="1" t="str">
        <f ca="1">IFERROR(__xludf.DUMFUNCTION("GOOGLETRANSLATE(A3387,""id"",""en"")"),"SWALL SURPLY APPLICATION")</f>
        <v>SWALL SURPLY APPLICATION</v>
      </c>
    </row>
    <row r="3312" spans="1:2" x14ac:dyDescent="0.2">
      <c r="A3312" s="1" t="s">
        <v>1020</v>
      </c>
      <c r="B3312" s="1" t="str">
        <f ca="1">IFERROR(__xludf.DUMFUNCTION("GOOGLETRANSLATE(A3388,""id"",""en"")"),"good order of BUMN hierarchy, one of the places of Erick, Minister of BUMN Ahok, President Commissioner of PT ")</f>
        <v xml:space="preserve">good order of BUMN hierarchy, one of the places of Erick, Minister of BUMN Ahok, President Commissioner of PT </v>
      </c>
    </row>
    <row r="3313" spans="1:2" x14ac:dyDescent="0.2">
      <c r="A3313" s="1" t="s">
        <v>1021</v>
      </c>
      <c r="B3313" s="1" t="str">
        <f ca="1">IFERROR(__xludf.DUMFUNCTION("GOOGLETRANSLATE(A3389,""id"",""en"")"),"I after  crossed waiting for  stopping transportation")</f>
        <v>I after  crossed waiting for  stopping transportation</v>
      </c>
    </row>
    <row r="3314" spans="1:2" x14ac:dyDescent="0.2">
      <c r="A3314" s="1" t="s">
        <v>216</v>
      </c>
      <c r="B3314" s="1" t="str">
        <f ca="1">IFERROR(__xludf.DUMFUNCTION("GOOGLETRANSLATE(A3390,""id"",""en"")"),"Try to be observant hose open open the pretext for moving Pertamax, not just any fuel mixed vehicle if you replace the drain after the effect of the engine fuel")</f>
        <v>Try to be observant hose open open the pretext for moving Pertamax, not just any fuel mixed vehicle if you replace the drain after the effect of the engine fuel</v>
      </c>
    </row>
    <row r="3315" spans="1:2" x14ac:dyDescent="0.2">
      <c r="A3315" s="1" t="s">
        <v>1022</v>
      </c>
      <c r="B3315" s="1" t="str">
        <f ca="1">IFERROR(__xludf.DUMFUNCTION("GOOGLETRANSLATE(A3391,""id"",""en"")"),"Already from the reimbursement office by BBM it is difficult to  also adds to the notes")</f>
        <v>Already from the reimbursement office by BBM it is difficult to  also adds to the notes</v>
      </c>
    </row>
    <row r="3316" spans="1:2" x14ac:dyDescent="0.2">
      <c r="A3316" s="1" t="s">
        <v>217</v>
      </c>
      <c r="B3316" s="1" t="str">
        <f ca="1">IFERROR(__xludf.DUMFUNCTION("GOOGLETRANSLATE(A3392,""id"",""en"")"),"prohibit pee and task")</f>
        <v>prohibit pee and task</v>
      </c>
    </row>
    <row r="3317" spans="1:2" x14ac:dyDescent="0.2">
      <c r="A3317" s="1" t="s">
        <v>4983</v>
      </c>
      <c r="B3317" s="1" t="str">
        <f ca="1">IFERROR(__xludf.DUMFUNCTION("GOOGLETRANSLATE(A3393,""id"",""en"")"),"already gas like gin is ashamed if you know for the use of  application in July")</f>
        <v>already gas like gin is ashamed if you know for the use of  application in July</v>
      </c>
    </row>
    <row r="3318" spans="1:2" x14ac:dyDescent="0.2">
      <c r="A3318" s="1" t="s">
        <v>218</v>
      </c>
      <c r="B3318" s="1" t="str">
        <f ca="1">IFERROR(__xludf.DUMFUNCTION("GOOGLETRANSLATE(A3394,""id"",""en"")"),"good there is help")</f>
        <v>good there is help</v>
      </c>
    </row>
    <row r="3319" spans="1:2" x14ac:dyDescent="0.2">
      <c r="A3319" s="1" t="s">
        <v>219</v>
      </c>
      <c r="B3319" s="1" t="str">
        <f ca="1">IFERROR(__xludf.DUMFUNCTION("GOOGLETRANSLATE(A3395,""id"",""en"")"),"CC")</f>
        <v>CC</v>
      </c>
    </row>
    <row r="3320" spans="1:2" x14ac:dyDescent="0.2">
      <c r="A3320" s="1" t="s">
        <v>220</v>
      </c>
      <c r="B3320" s="1" t="str">
        <f ca="1">IFERROR(__xludf.DUMFUNCTION("GOOGLETRANSLATE(A3396,""id"",""en"")"),"nuwun sewu amp danger of the hp gas station if the game is a lot of risk amp driver ojol balance top up link please review wisely")</f>
        <v>nuwun sewu amp danger of the hp gas station if the game is a lot of risk amp driver ojol balance top up link please review wisely</v>
      </c>
    </row>
    <row r="3321" spans="1:2" x14ac:dyDescent="0.2">
      <c r="A3321" s="1" t="s">
        <v>1023</v>
      </c>
      <c r="B3321" s="1" t="str">
        <f ca="1">IFERROR(__xludf.DUMFUNCTION("GOOGLETRANSLATE(A3397,""id"",""en"")"),"then the fate of the trading ecer is buying, how about the remote houses of , how are you complicated")</f>
        <v>then the fate of the trading ecer is buying, how about the remote houses of , how are you complicated</v>
      </c>
    </row>
    <row r="3322" spans="1:2" x14ac:dyDescent="0.2">
      <c r="A3322" s="1" t="s">
        <v>4984</v>
      </c>
      <c r="B3322" s="1" t="str">
        <f ca="1">IFERROR(__xludf.DUMFUNCTION("GOOGLETRANSLATE(A3398,""id"",""en"")"),"not explosive if open the  application")</f>
        <v>not explosive if open the  application</v>
      </c>
    </row>
    <row r="3323" spans="1:2" x14ac:dyDescent="0.2">
      <c r="A3323" s="1" t="s">
        <v>4985</v>
      </c>
      <c r="B3323" s="1" t="str">
        <f ca="1">IFERROR(__xludf.DUMFUNCTION("GOOGLETRANSLATE(A3399,""id"",""en"")"),"List of HP   List of Work Kendara Types Passed Subsidy Oil Card One of the Rich People Rich Values")</f>
        <v>List of HP   List of Work Kendara Types Passed Subsidy Oil Card One of the Rich People Rich Values</v>
      </c>
    </row>
    <row r="3324" spans="1:2" x14ac:dyDescent="0.2">
      <c r="A3324" s="1" t="s">
        <v>221</v>
      </c>
      <c r="B3324" s="1" t="str">
        <f ca="1">IFERROR(__xludf.DUMFUNCTION("GOOGLETRANSLATE(A3400,""id"",""en"")"),"Hahaha yes, please")</f>
        <v>Hahaha yes, please</v>
      </c>
    </row>
    <row r="3325" spans="1:2" x14ac:dyDescent="0.2">
      <c r="A3325" s="1" t="s">
        <v>222</v>
      </c>
      <c r="B3325" s="1" t="str">
        <f ca="1">IFERROR(__xludf.DUMFUNCTION("GOOGLETRANSLATE(A3401,""id"",""en"")"),"Buying BBM must use the application to buy cooking oil to use caring for protection, thinking that the indigenous Indonesian people feel like a country guest")</f>
        <v>Buying BBM must use the application to buy cooking oil to use caring for protection, thinking that the indigenous Indonesian people feel like a country guest</v>
      </c>
    </row>
    <row r="3326" spans="1:2" x14ac:dyDescent="0.2">
      <c r="A3326" s="1" t="s">
        <v>4986</v>
      </c>
      <c r="B3326" s="1" t="str">
        <f ca="1">IFERROR(__xludf.DUMFUNCTION("GOOGLETRANSLATE(A3402,""id"",""en"")"),"Drpd Install   Flat Retail of the Internet Diru")</f>
        <v>Drpd Install   Flat Retail of the Internet Diru</v>
      </c>
    </row>
    <row r="3327" spans="1:2" x14ac:dyDescent="0.2">
      <c r="A3327" s="1" t="s">
        <v>223</v>
      </c>
      <c r="B3327" s="1" t="str">
        <f ca="1">IFERROR(__xludf.DUMFUNCTION("GOOGLETRANSLATE(A3403,""id"",""en"")"),"Confused activating the cellphone then the gas station is meledsk")</f>
        <v>Confused activating the cellphone then the gas station is meledsk</v>
      </c>
    </row>
    <row r="3328" spans="1:2" x14ac:dyDescent="0.2">
      <c r="A3328" s="1" t="s">
        <v>1024</v>
      </c>
      <c r="B3328" s="1" t="str">
        <f ca="1">IFERROR(__xludf.DUMFUNCTION("GOOGLETRANSLATE(A3404,""id"",""en"")"),"if it's easy to applications the Sen community via  APK is available")</f>
        <v>if it's easy to applications the Sen community via  APK is available</v>
      </c>
    </row>
    <row r="3329" spans="1:2" x14ac:dyDescent="0.2">
      <c r="A3329" s="1" t="s">
        <v>1025</v>
      </c>
      <c r="B3329" s="1" t="str">
        <f ca="1">IFERROR(__xludf.DUMFUNCTION("GOOGLETRANSLATE(A3405,""id"",""en"")"),"The contents of 's gasoline are really queuing up and remembering rare gasoline solar Java")</f>
        <v>The contents of 's gasoline are really queuing up and remembering rare gasoline solar Java</v>
      </c>
    </row>
    <row r="3330" spans="1:2" x14ac:dyDescent="0.2">
      <c r="A3330" s="1" t="s">
        <v>1026</v>
      </c>
      <c r="B3330" s="1" t="str">
        <f ca="1">IFERROR(__xludf.DUMFUNCTION("GOOGLETRANSLATE(A3406,""id"",""en"")")," TQMBB Motorcycle Tires Difficult to Buy Solar already brought a Kasih Village Letter")</f>
        <v xml:space="preserve"> TQMBB Motorcycle Tires Difficult to Buy Solar already brought a Kasih Village Letter</v>
      </c>
    </row>
    <row r="3331" spans="1:2" x14ac:dyDescent="0.2">
      <c r="A3331" s="1" t="s">
        <v>4987</v>
      </c>
      <c r="B3331" s="1" t="str">
        <f ca="1">IFERROR(__xludf.DUMFUNCTION("GOOGLETRANSLATE(A3407,""id"",""en"")"),"at least using sandals, thank God, if the shoes are hit by tickets, I can't like that, bombing bombs, buying BBM, using  app.")</f>
        <v>at least using sandals, thank God, if the shoes are hit by tickets, I can't like that, bombing bombs, buying BBM, using  app.</v>
      </c>
    </row>
    <row r="3332" spans="1:2" x14ac:dyDescent="0.2">
      <c r="A3332" s="1" t="s">
        <v>224</v>
      </c>
      <c r="B3332" s="1" t="str">
        <f ca="1">IFERROR(__xludf.DUMFUNCTION("GOOGLETRANSLATE(A3408,""id"",""en"")"),"funny")</f>
        <v>funny</v>
      </c>
    </row>
    <row r="3333" spans="1:2" x14ac:dyDescent="0.2">
      <c r="A3333" s="1" t="s">
        <v>1027</v>
      </c>
      <c r="B3333" s="1" t="str">
        <f ca="1">IFERROR(__xludf.DUMFUNCTION("GOOGLETRANSLATE(A3409,""id"",""en"")"),"the characteristics of a bankrupt business make a strange wise example of ")</f>
        <v xml:space="preserve">the characteristics of a bankrupt business make a strange wise example of </v>
      </c>
    </row>
    <row r="3334" spans="1:2" x14ac:dyDescent="0.2">
      <c r="A3334" s="1" t="s">
        <v>1002</v>
      </c>
      <c r="B3334" s="1" t="str">
        <f ca="1">IFERROR(__xludf.DUMFUNCTION("GOOGLETRANSLATE(A3410,""id"",""en"")"),"Price List of Pertalite Pertamax  Indonesia SPBU")</f>
        <v>Price List of Pertalite Pertamax  Indonesia SPBU</v>
      </c>
    </row>
    <row r="3335" spans="1:2" x14ac:dyDescent="0.2">
      <c r="A3335" s="1" t="s">
        <v>1002</v>
      </c>
      <c r="B3335" s="1" t="str">
        <f ca="1">IFERROR(__xludf.DUMFUNCTION("GOOGLETRANSLATE(A3411,""id"",""en"")"),"Price List of Pertalite Pertamax  Indonesia SPBU")</f>
        <v>Price List of Pertalite Pertamax  Indonesia SPBU</v>
      </c>
    </row>
    <row r="3336" spans="1:2" x14ac:dyDescent="0.2">
      <c r="A3336" s="1" t="s">
        <v>4988</v>
      </c>
      <c r="B3336" s="1" t="str">
        <f ca="1">IFERROR(__xludf.DUMFUNCTION("GOOGLETRANSLATE(A3412,""id"",""en"")"),"Don't be excited about the one who bought fuel via   path of trial trials Salur subsidized Sasar Application ACU Protection of the Community who is the right to enjoy BBM subsidies guys understand yes")</f>
        <v>Don't be excited about the one who bought fuel via   path of trial trials Salur subsidized Sasar Application ACU Protection of the Community who is the right to enjoy BBM subsidies guys understand yes</v>
      </c>
    </row>
    <row r="3337" spans="1:2" x14ac:dyDescent="0.2">
      <c r="A3337" s="1" t="s">
        <v>4989</v>
      </c>
      <c r="B3337" s="1" t="str">
        <f ca="1">IFERROR(__xludf.DUMFUNCTION("GOOGLETRANSLATE(A3413,""id"",""en"")"),"not sorry sis worthy of rude Hello  apakabar hopefully healthy strong sap -baci miracle")</f>
        <v>not sorry sis worthy of rude Hello  apakabar hopefully healthy strong sap -baci miracle</v>
      </c>
    </row>
    <row r="3338" spans="1:2" x14ac:dyDescent="0.2">
      <c r="A3338" s="1" t="s">
        <v>225</v>
      </c>
      <c r="B3338" s="1" t="str">
        <f ca="1">IFERROR(__xludf.DUMFUNCTION("GOOGLETRANSLATE(A3414,""id"",""en"")"),"That")</f>
        <v>That</v>
      </c>
    </row>
    <row r="3339" spans="1:2" x14ac:dyDescent="0.2">
      <c r="A3339" s="1" t="s">
        <v>226</v>
      </c>
      <c r="B3339" s="1" t="str">
        <f ca="1">IFERROR(__xludf.DUMFUNCTION("GOOGLETRANSLATE(A3415,""id"",""en"")"),"stupid brain set stupid")</f>
        <v>stupid brain set stupid</v>
      </c>
    </row>
    <row r="3340" spans="1:2" x14ac:dyDescent="0.2">
      <c r="A3340" s="1" t="s">
        <v>4990</v>
      </c>
      <c r="B3340" s="1" t="str">
        <f ca="1">IFERROR(__xludf.DUMFUNCTION("GOOGLETRANSLATE(A3416,""id"",""en"")"),"No regularly fill gasoline using  ")</f>
        <v xml:space="preserve">No regularly fill gasoline using  </v>
      </c>
    </row>
    <row r="3341" spans="1:2" x14ac:dyDescent="0.2">
      <c r="A3341" s="1" t="s">
        <v>227</v>
      </c>
      <c r="B3341" s="1" t="str">
        <f ca="1">IFERROR(__xludf.DUMFUNCTION("GOOGLETRANSLATE(A3417,""id"",""en"")"),"PAY PAKA LINK BUY THOUSANDS CARE CARE CARE CARE MILLION CAR")</f>
        <v>PAY PAKA LINK BUY THOUSANDS CARE CARE CARE CARE MILLION CAR</v>
      </c>
    </row>
    <row r="3342" spans="1:2" x14ac:dyDescent="0.2">
      <c r="A3342" s="1" t="s">
        <v>4991</v>
      </c>
      <c r="B3342" s="1" t="str">
        <f ca="1">IFERROR(__xludf.DUMFUNCTION("GOOGLETRANSLATE(A3418,""id"",""en"")"),"The tour of the kendara just using shoes is strange, I also buy BBM using  app.")</f>
        <v>The tour of the kendara just using shoes is strange, I also buy BBM using  app.</v>
      </c>
    </row>
    <row r="3343" spans="1:2" x14ac:dyDescent="0.2">
      <c r="A3343" s="1" t="s">
        <v>1028</v>
      </c>
      <c r="B3343" s="1" t="str">
        <f ca="1">IFERROR(__xludf.DUMFUNCTION("GOOGLETRANSLATE(A3419,""id"",""en"")"),"This is , the trial path of Salur Salur Subsidized Salangan Community who rights to list guys according to the salur guys, the luxury cars are fair subsidies")</f>
        <v>This is , the trial path of Salur Salur Subsidized Salangan Community who rights to list guys according to the salur guys, the luxury cars are fair subsidies</v>
      </c>
    </row>
    <row r="3344" spans="1:2" x14ac:dyDescent="0.2">
      <c r="A3344" s="1" t="s">
        <v>1029</v>
      </c>
      <c r="B3344" s="1" t="str">
        <f ca="1">IFERROR(__xludf.DUMFUNCTION("GOOGLETRANSLATE(A3420,""id"",""en"")")," Fuel Stock Conditions")</f>
        <v xml:space="preserve"> Fuel Stock Conditions</v>
      </c>
    </row>
    <row r="3345" spans="1:2" x14ac:dyDescent="0.2">
      <c r="A3345" s="1" t="s">
        <v>228</v>
      </c>
      <c r="B3345" s="1" t="str">
        <f ca="1">IFERROR(__xludf.DUMFUNCTION("GOOGLETRANSLATE(A3421,""id"",""en"")"),"to prohibit now, just fill in the BBM application, open the regional cellphone application")</f>
        <v>to prohibit now, just fill in the BBM application, open the regional cellphone application</v>
      </c>
    </row>
    <row r="3346" spans="1:2" x14ac:dyDescent="0.2">
      <c r="A3346" s="1" t="s">
        <v>1030</v>
      </c>
      <c r="B3346" s="1" t="str">
        <f ca="1">IFERROR(__xludf.DUMFUNCTION("GOOGLETRANSLATE(A3422,""id"",""en"")"),"Oalaahhhhhhhhhhhhhhhhorming if you invite to eat, bring a grooming sack in the sack so that it can be cantip wkwkwkkwkw who is the chairman of the unnie who is already friendly like the assignment of  and the sterious girls")</f>
        <v>Oalaahhhhhhhhhhhhhhhhorming if you invite to eat, bring a grooming sack in the sack so that it can be cantip wkwkwkkwkw who is the chairman of the unnie who is already friendly like the assignment of  and the sterious girls</v>
      </c>
    </row>
    <row r="3347" spans="1:2" x14ac:dyDescent="0.2">
      <c r="A3347" s="1" t="s">
        <v>1031</v>
      </c>
      <c r="B3347" s="1" t="str">
        <f ca="1">IFERROR(__xludf.DUMFUNCTION("GOOGLETRANSLATE(A3423,""id"",""en"")"),"Fire Triangle Theory has not been sold by  Basic Knowledge like a basic safety training that is like  Maritime Center")</f>
        <v>Fire Triangle Theory has not been sold by  Basic Knowledge like a basic safety training that is like  Maritime Center</v>
      </c>
    </row>
    <row r="3348" spans="1:2" x14ac:dyDescent="0.2">
      <c r="A3348" s="1" t="s">
        <v>1032</v>
      </c>
      <c r="B3348" s="1" t="str">
        <f ca="1">IFERROR(__xludf.DUMFUNCTION("GOOGLETRANSLATE(A3424,""id"",""en"")"),"EDUSTAFF UNIV  Semangatt, I hope you graduate")</f>
        <v>EDUSTAFF UNIV  Semangatt, I hope you graduate</v>
      </c>
    </row>
    <row r="3349" spans="1:2" x14ac:dyDescent="0.2">
      <c r="A3349" s="1" t="s">
        <v>4992</v>
      </c>
      <c r="B3349" s="1" t="str">
        <f ca="1">IFERROR(__xludf.DUMFUNCTION("GOOGLETRANSLATE(A3425,""id"",""en"")"),"in Jakarta already POM Type Self Service Using  ")</f>
        <v xml:space="preserve">in Jakarta already POM Type Self Service Using  </v>
      </c>
    </row>
    <row r="3350" spans="1:2" x14ac:dyDescent="0.2">
      <c r="A3350" s="1" t="s">
        <v>4993</v>
      </c>
      <c r="B3350" s="1" t="str">
        <f ca="1">IFERROR(__xludf.DUMFUNCTION("GOOGLETRANSLATE(A3426,""id"",""en"")"),"wisely makes it difficult for people to buy it, you need to buy pertalite pertalite using   buying cooking oil using nik amp cares, the command is difficult to live in the people")</f>
        <v>wisely makes it difficult for people to buy it, you need to buy pertalite pertalite using   buying cooking oil using nik amp cares, the command is difficult to live in the people</v>
      </c>
    </row>
    <row r="3351" spans="1:2" x14ac:dyDescent="0.2">
      <c r="A3351" s="1" t="s">
        <v>4994</v>
      </c>
      <c r="B3351" s="1" t="str">
        <f ca="1">IFERROR(__xludf.DUMFUNCTION("GOOGLETRANSLATE(A3427,""id"",""en"")"),"duh netizens are excited with the application  bbm subsidized sasar tablets  website for sale")</f>
        <v>duh netizens are excited with the application  bbm subsidized sasar tablets  website for sale</v>
      </c>
    </row>
    <row r="3352" spans="1:2" x14ac:dyDescent="0.2">
      <c r="A3352" s="1" t="s">
        <v>229</v>
      </c>
      <c r="B3352" s="1" t="str">
        <f ca="1">IFERROR(__xludf.DUMFUNCTION("GOOGLETRANSLATE(A3428,""id"",""en"")"),"Nyang makes the brain set up confused")</f>
        <v>Nyang makes the brain set up confused</v>
      </c>
    </row>
    <row r="3353" spans="1:2" x14ac:dyDescent="0.2">
      <c r="A3353" s="1" t="s">
        <v>1033</v>
      </c>
      <c r="B3353" s="1" t="str">
        <f ca="1">IFERROR(__xludf.DUMFUNCTION("GOOGLETRANSLATE(A3429,""id"",""en"")"),"selling market prices for your demonstration  loss of subsidies you're noisy")</f>
        <v>selling market prices for your demonstration  loss of subsidies you're noisy</v>
      </c>
    </row>
    <row r="3354" spans="1:2" x14ac:dyDescent="0.2">
      <c r="A3354" s="1" t="s">
        <v>230</v>
      </c>
      <c r="B3354" s="1" t="str">
        <f ca="1">IFERROR(__xludf.DUMFUNCTION("GOOGLETRANSLATE(A3430,""id"",""en"")"),"Institutional mental illness, but or not, but the one who takes care of it")</f>
        <v>Institutional mental illness, but or not, but the one who takes care of it</v>
      </c>
    </row>
    <row r="3355" spans="1:2" x14ac:dyDescent="0.2">
      <c r="A3355" s="1" t="s">
        <v>1034</v>
      </c>
      <c r="B3355" s="1" t="str">
        <f ca="1">IFERROR(__xludf.DUMFUNCTION("GOOGLETRANSLATE(A3432,""id"",""en"")")," Patra Niaga Trial Servants Buy Pertalite Solar to Register")</f>
        <v xml:space="preserve"> Patra Niaga Trial Servants Buy Pertalite Solar to Register</v>
      </c>
    </row>
    <row r="3356" spans="1:2" x14ac:dyDescent="0.2">
      <c r="A3356" s="1" t="s">
        <v>1035</v>
      </c>
      <c r="B3356" s="1" t="str">
        <f ca="1">IFERROR(__xludf.DUMFUNCTION("GOOGLETRANSLATE(A3434,""id"",""en"")"),"Ahok adopted Commissioner  Alumni Itching Klau Ahok President Modiar")</f>
        <v>Ahok adopted Commissioner  Alumni Itching Klau Ahok President Modiar</v>
      </c>
    </row>
    <row r="3357" spans="1:2" x14ac:dyDescent="0.2">
      <c r="A3357" s="1" t="s">
        <v>231</v>
      </c>
      <c r="B3357" s="1" t="str">
        <f ca="1">IFERROR(__xludf.DUMFUNCTION("GOOGLETRANSLATE(A3435,""id"",""en"")"),"Set the confused one")</f>
        <v>Set the confused one</v>
      </c>
    </row>
    <row r="3358" spans="1:2" x14ac:dyDescent="0.2">
      <c r="A3358" s="1" t="s">
        <v>1036</v>
      </c>
      <c r="B3358" s="1" t="str">
        <f ca="1">IFERROR(__xludf.DUMFUNCTION("GOOGLETRANSLATE(A3436,""id"",""en"")"),"Discuss Denpasar Police Chief of PT  Branch Denpasar Denpasar")</f>
        <v>Discuss Denpasar Police Chief of PT  Branch Denpasar Denpasar</v>
      </c>
    </row>
    <row r="3359" spans="1:2" x14ac:dyDescent="0.2">
      <c r="A3359" s="1" t="s">
        <v>1037</v>
      </c>
      <c r="B3359" s="1" t="str">
        <f ca="1">IFERROR(__xludf.DUMFUNCTION("GOOGLETRANSLATE(A3437,""id"",""en"")"),"Smart Action from Counter Measure commands that many countries also understand the emission limit of the angktan switch that is not cellphone, I'm not a lot of  case by case policy")</f>
        <v>Smart Action from Counter Measure commands that many countries also understand the emission limit of the angktan switch that is not cellphone, I'm not a lot of  case by case policy</v>
      </c>
    </row>
    <row r="3360" spans="1:2" x14ac:dyDescent="0.2">
      <c r="A3360" s="1" t="s">
        <v>4995</v>
      </c>
      <c r="B3360" s="1" t="str">
        <f ca="1">IFERROR(__xludf.DUMFUNCTION("GOOGLETRANSLATE(A3438,""id"",""en"")")," Terms of Buying Pertalite Solar Buru List  Application BBMSUBSIDI PERTALITE SOLAR CONTROL BBMSUBSIDI")</f>
        <v xml:space="preserve"> Terms of Buying Pertalite Solar Buru List  Application BBMSUBSIDI PERTALITE SOLAR CONTROL BBMSUBSIDI</v>
      </c>
    </row>
    <row r="3361" spans="1:2" x14ac:dyDescent="0.2">
      <c r="A3361" s="1" t="s">
        <v>1038</v>
      </c>
      <c r="B3361" s="1" t="str">
        <f ca="1">IFERROR(__xludf.DUMFUNCTION("GOOGLETRANSLATE(A3439,""id"",""en"")"),"Hello Managing Director of , please balance only Rp")</f>
        <v>Hello Managing Director of , please balance only Rp</v>
      </c>
    </row>
    <row r="3362" spans="1:2" x14ac:dyDescent="0.2">
      <c r="A3362" s="1" t="s">
        <v>1039</v>
      </c>
      <c r="B3362" s="1" t="str">
        <f ca="1">IFERROR(__xludf.DUMFUNCTION("GOOGLETRANSLATE(A3440,""id"",""en"")")," Forbids Stupid Hp")</f>
        <v xml:space="preserve"> Forbids Stupid Hp</v>
      </c>
    </row>
    <row r="3363" spans="1:2" x14ac:dyDescent="0.2">
      <c r="A3363" s="1" t="s">
        <v>1040</v>
      </c>
      <c r="B3363" s="1" t="str">
        <f ca="1">IFERROR(__xludf.DUMFUNCTION("GOOGLETRANSLATE(A3441,""id"",""en"")"),"Program Installing RFID Buying  Premium Makes Traffic Jams in line")</f>
        <v>Program Installing RFID Buying  Premium Makes Traffic Jams in line</v>
      </c>
    </row>
    <row r="3364" spans="1:2" x14ac:dyDescent="0.2">
      <c r="A3364" s="1" t="s">
        <v>232</v>
      </c>
      <c r="B3364" s="1" t="str">
        <f ca="1">IFERROR(__xludf.DUMFUNCTION("GOOGLETRANSLATE(A3442,""id"",""en"")"),"Wow, so  gas station oprator is not dead, please adjust me missing  age")</f>
        <v>Wow, so  gas station oprator is not dead, please adjust me missing  age</v>
      </c>
    </row>
    <row r="3365" spans="1:2" x14ac:dyDescent="0.2">
      <c r="A3365" s="1" t="s">
        <v>1041</v>
      </c>
      <c r="B3365" s="1" t="str">
        <f ca="1">IFERROR(__xludf.DUMFUNCTION("GOOGLETRANSLATE(A3443,""id"",""en"")")," Patra Niaga Sub Holding Commercial AMP Trading PT  Persero Trial Saying PE")</f>
        <v xml:space="preserve"> Patra Niaga Sub Holding Commercial AMP Trading PT  Persero Trial Saying PE</v>
      </c>
    </row>
    <row r="3366" spans="1:2" x14ac:dyDescent="0.2">
      <c r="A3366" s="1" t="s">
        <v>233</v>
      </c>
      <c r="B3366" s="1" t="str">
        <f ca="1">IFERROR(__xludf.DUMFUNCTION("GOOGLETRANSLATE(A3444,""id"",""en"")"),"Wakakakakkkk is right")</f>
        <v>Wakakakakkkk is right</v>
      </c>
    </row>
    <row r="3367" spans="1:2" x14ac:dyDescent="0.2">
      <c r="A3367" s="1" t="s">
        <v>1042</v>
      </c>
      <c r="B3367" s="1" t="str">
        <f ca="1">IFERROR(__xludf.DUMFUNCTION("GOOGLETRANSLATE(A3445,""id"",""en"")")," prohibits the active Coustumer HP Pasuk SPBU must use the Kadrung SPBU command application")</f>
        <v xml:space="preserve"> prohibits the active Coustumer HP Pasuk SPBU must use the Kadrung SPBU command application</v>
      </c>
    </row>
    <row r="3368" spans="1:2" x14ac:dyDescent="0.2">
      <c r="A3368" s="1" t="s">
        <v>234</v>
      </c>
      <c r="B3368" s="1" t="str">
        <f ca="1">IFERROR(__xludf.DUMFUNCTION("GOOGLETRANSLATE(A3446,""id"",""en"")"),"original basic logic, so don't think about the cc minister's cc too, the president")</f>
        <v>original basic logic, so don't think about the cc minister's cc too, the president</v>
      </c>
    </row>
    <row r="3369" spans="1:2" x14ac:dyDescent="0.2">
      <c r="A3369" s="1" t="s">
        <v>1043</v>
      </c>
      <c r="B3369" s="1" t="str">
        <f ca="1">IFERROR(__xludf.DUMFUNCTION("GOOGLETRANSLATE(A3447,""id"",""en"")"),"Negeri Motor Fill in the Water Road so as not to bother  Yuuk Prayer so as not to be complicated")</f>
        <v>Negeri Motor Fill in the Water Road so as not to bother  Yuuk Prayer so as not to be complicated</v>
      </c>
    </row>
    <row r="3370" spans="1:2" x14ac:dyDescent="0.2">
      <c r="A3370" s="1" t="s">
        <v>235</v>
      </c>
      <c r="B3370" s="1" t="str">
        <f ca="1">IFERROR(__xludf.DUMFUNCTION("GOOGLETRANSLATE(A3448,""id"",""en"")"),"the land of smart people just want to laugh huh ha ha ha cuan makes people smart beargeng beleng ha ha ha")</f>
        <v>the land of smart people just want to laugh huh ha ha ha cuan makes people smart beargeng beleng ha ha ha</v>
      </c>
    </row>
    <row r="3371" spans="1:2" x14ac:dyDescent="0.2">
      <c r="A3371" s="1" t="s">
        <v>1044</v>
      </c>
      <c r="B3371" s="1" t="str">
        <f ca="1">IFERROR(__xludf.DUMFUNCTION("GOOGLETRANSLATE(A3449,""id"",""en"")"),"HP Min so that I install AFK , buy Pertalait already full of memory")</f>
        <v>HP Min so that I install AFK , buy Pertalait already full of memory</v>
      </c>
    </row>
    <row r="3372" spans="1:2" x14ac:dyDescent="0.2">
      <c r="A3372" s="1" t="s">
        <v>1045</v>
      </c>
      <c r="B3372" s="1" t="str">
        <f ca="1">IFERROR(__xludf.DUMFUNCTION("GOOGLETRANSLATE(A3450,""id"",""en"")"),"PT  July Trials Pertalite Solar Trial for System List Rights")</f>
        <v>PT  July Trials Pertalite Solar Trial for System List Rights</v>
      </c>
    </row>
    <row r="3373" spans="1:2" x14ac:dyDescent="0.2">
      <c r="A3373" s="1" t="s">
        <v>1046</v>
      </c>
      <c r="B3373" s="1" t="str">
        <f ca="1">IFERROR(__xludf.DUMFUNCTION("GOOGLETRANSLATE(A3451,""id"",""en"")"),"Alam Sutera  SPBU which is the concept of self service paying for aware of the tires")</f>
        <v>Alam Sutera  SPBU which is the concept of self service paying for aware of the tires</v>
      </c>
    </row>
    <row r="3374" spans="1:2" x14ac:dyDescent="0.2">
      <c r="A3374" s="1" t="s">
        <v>4996</v>
      </c>
      <c r="B3374" s="1" t="str">
        <f ca="1">IFERROR(__xludf.DUMFUNCTION("GOOGLETRANSLATE(A3452,""id"",""en"")"),"really desperate to get a data base sitting community until buying gasoline must use the  tam application")</f>
        <v>really desperate to get a data base sitting community until buying gasoline must use the  tam application</v>
      </c>
    </row>
    <row r="3375" spans="1:2" x14ac:dyDescent="0.2">
      <c r="A3375" s="1" t="s">
        <v>4997</v>
      </c>
      <c r="B3375" s="1" t="str">
        <f ca="1">IFERROR(__xludf.DUMFUNCTION("GOOGLETRANSLATE(A3453,""id"",""en"")")," ")</f>
        <v xml:space="preserve"> </v>
      </c>
    </row>
    <row r="3376" spans="1:2" x14ac:dyDescent="0.2">
      <c r="A3376" s="1" t="s">
        <v>4998</v>
      </c>
      <c r="B3376" s="1" t="str">
        <f ca="1">IFERROR(__xludf.DUMFUNCTION("GOOGLETRANSLATE(A3454,""id"",""en"")"),"Buy Bbm Make Apk  ITUH APK APK AMPELINNYAH FLY YES ONLY ENDONESA NYANG APAH MAKE A RIBED STATE COUNTRY NOT GINIH GINIH BUY BBM YES DUWIT NYOK DAH BUKADRAFTRKUHP BUKADRAFTRRAFT")</f>
        <v>Buy Bbm Make Apk  ITUH APK APK AMPELINNYAH FLY YES ONLY ENDONESA NYANG APAH MAKE A RIBED STATE COUNTRY NOT GINIH GINIH BUY BBM YES DUWIT NYOK DAH BUKADRAFTRKUHP BUKADRAFTRRAFT</v>
      </c>
    </row>
    <row r="3377" spans="1:2" x14ac:dyDescent="0.2">
      <c r="A3377" s="1" t="s">
        <v>236</v>
      </c>
      <c r="B3377" s="1" t="str">
        <f ca="1">IFERROR(__xludf.DUMFUNCTION("GOOGLETRANSLATE(A3455,""id"",""en"")"),"Where do you make you arrange if you buy BBM using the application, it's not too keen thinking the dangers of buying a strange gas station assignment")</f>
        <v>Where do you make you arrange if you buy BBM using the application, it's not too keen thinking the dangers of buying a strange gas station assignment</v>
      </c>
    </row>
    <row r="3378" spans="1:2" x14ac:dyDescent="0.2">
      <c r="A3378" s="1" t="s">
        <v>4999</v>
      </c>
      <c r="B3378" s="1" t="str">
        <f ca="1">IFERROR(__xludf.DUMFUNCTION("GOOGLETRANSLATE(A3456,""id"",""en"")")," Corporate Secretary Patra Niaga Irto Ginting Community Mandatory belongs to the  application list of receipt of subsidized BBM")</f>
        <v xml:space="preserve"> Corporate Secretary Patra Niaga Irto Ginting Community Mandatory belongs to the  application list of receipt of subsidized BBM</v>
      </c>
    </row>
    <row r="3379" spans="1:2" x14ac:dyDescent="0.2">
      <c r="A3379" s="1" t="s">
        <v>4986</v>
      </c>
      <c r="B3379" s="1" t="str">
        <f ca="1">IFERROR(__xludf.DUMFUNCTION("GOOGLETRANSLATE(A3457,""id"",""en"")"),"Drpd Install   Flat Retail of the Internet Diru")</f>
        <v>Drpd Install   Flat Retail of the Internet Diru</v>
      </c>
    </row>
    <row r="3380" spans="1:2" x14ac:dyDescent="0.2">
      <c r="A3380" s="1" t="s">
        <v>5000</v>
      </c>
      <c r="B3380" s="1" t="str">
        <f ca="1">IFERROR(__xludf.DUMFUNCTION("GOOGLETRANSLATE(A3458,""id"",""en"")"),"Back Pro and Cons   from some uses the app because MLS brings cash be like")</f>
        <v>Back Pro and Cons   from some uses the app because MLS brings cash be like</v>
      </c>
    </row>
    <row r="3381" spans="1:2" x14ac:dyDescent="0.2">
      <c r="A3381" s="1" t="s">
        <v>1047</v>
      </c>
      <c r="B3381" s="1" t="str">
        <f ca="1">IFERROR(__xludf.DUMFUNCTION("GOOGLETRANSLATE(A3459,""id"",""en"")"),"strange Indonesia take care of the stupid people playing mobile alias open the  application lying HP active gas station")</f>
        <v>strange Indonesia take care of the stupid people playing mobile alias open the  application lying HP active gas station</v>
      </c>
    </row>
    <row r="3382" spans="1:2" x14ac:dyDescent="0.2">
      <c r="A3382" s="1" t="s">
        <v>237</v>
      </c>
      <c r="B3382" s="1" t="str">
        <f ca="1">IFERROR(__xludf.DUMFUNCTION("GOOGLETRANSLATE(A3460,""id"",""en"")"),"woww cool craftsman")</f>
        <v>woww cool craftsman</v>
      </c>
    </row>
    <row r="3383" spans="1:2" x14ac:dyDescent="0.2">
      <c r="A3383" s="1" t="s">
        <v>5001</v>
      </c>
      <c r="B3383" s="1" t="str">
        <f ca="1">IFERROR(__xludf.DUMFUNCTION("GOOGLETRANSLATE(A3461,""id"",""en"")"),"How to Download   Pertamini")</f>
        <v>How to Download   Pertamini</v>
      </c>
    </row>
    <row r="3384" spans="1:2" x14ac:dyDescent="0.2">
      <c r="A3384" s="1" t="s">
        <v>238</v>
      </c>
      <c r="B3384" s="1" t="str">
        <f ca="1">IFERROR(__xludf.DUMFUNCTION("GOOGLETRANSLATE(A3462,""id"",""en"")"),"news that is circulated buying wrong bbm using the application not playing mobile phones")</f>
        <v>news that is circulated buying wrong bbm using the application not playing mobile phones</v>
      </c>
    </row>
    <row r="3385" spans="1:2" x14ac:dyDescent="0.2">
      <c r="A3385" s="1" t="s">
        <v>140</v>
      </c>
      <c r="B3385" s="1" t="str">
        <f ca="1">IFERROR(__xludf.DUMFUNCTION("GOOGLETRANSLATE(A3463,""id"",""en"")"),"Dear entering the Mastiin Hp SPBU area, a minimum of plane mode is afraid to use")</f>
        <v>Dear entering the Mastiin Hp SPBU area, a minimum of plane mode is afraid to use</v>
      </c>
    </row>
    <row r="3386" spans="1:2" x14ac:dyDescent="0.2">
      <c r="A3386" s="1" t="s">
        <v>5002</v>
      </c>
      <c r="B3386" s="1" t="str">
        <f ca="1">IFERROR(__xludf.DUMFUNCTION("GOOGLETRANSLATE(A3464,""id"",""en"")")," account fell")</f>
        <v xml:space="preserve"> account fell</v>
      </c>
    </row>
    <row r="3387" spans="1:2" x14ac:dyDescent="0.2">
      <c r="A3387" s="1" t="s">
        <v>5003</v>
      </c>
      <c r="B3387" s="1" t="str">
        <f ca="1">IFERROR(__xludf.DUMFUNCTION("GOOGLETRANSLATE(A3466,""id"",""en"")"),"Buy Pertalite Using the  SPBU application forbid the MAHA MAHA TRY TRY TIR DULUR DULUR MAHA")</f>
        <v>Buy Pertalite Using the  SPBU application forbid the MAHA MAHA TRY TRY TIR DULUR DULUR MAHA</v>
      </c>
    </row>
    <row r="3388" spans="1:2" x14ac:dyDescent="0.2">
      <c r="A3388" s="1" t="s">
        <v>1048</v>
      </c>
      <c r="B3388" s="1" t="str">
        <f ca="1">IFERROR(__xludf.DUMFUNCTION("GOOGLETRANSLATE(A3467,""id"",""en"")"),"Alam Sutera  gas station that is the concept of self service pays to fill out aware of helping personnel who are guarding the person to guard the system org it not that bad if done with supervision")</f>
        <v>Alam Sutera  gas station that is the concept of self service pays to fill out aware of helping personnel who are guarding the person to guard the system org it not that bad if done with supervision</v>
      </c>
    </row>
    <row r="3389" spans="1:2" x14ac:dyDescent="0.2">
      <c r="A3389" s="1" t="s">
        <v>1049</v>
      </c>
      <c r="B3389" s="1" t="str">
        <f ca="1">IFERROR(__xludf.DUMFUNCTION("GOOGLETRANSLATE(A3468,""id"",""en"")"),"Definitely  Good Test Testing Products Flower")</f>
        <v>Definitely  Good Test Testing Products Flower</v>
      </c>
    </row>
    <row r="3390" spans="1:2" x14ac:dyDescent="0.2">
      <c r="A3390" s="1" t="s">
        <v>5004</v>
      </c>
      <c r="B3390" s="1" t="str">
        <f ca="1">IFERROR(__xludf.DUMFUNCTION("GOOGLETRANSLATE(A3469,""id"",""en"")"),"pay using   yes qr pay code")</f>
        <v>pay using   yes qr pay code</v>
      </c>
    </row>
    <row r="3391" spans="1:2" x14ac:dyDescent="0.2">
      <c r="A3391" s="1" t="s">
        <v>1050</v>
      </c>
      <c r="B3391" s="1" t="str">
        <f ca="1">IFERROR(__xludf.DUMFUNCTION("GOOGLETRANSLATE(A3470,""id"",""en"")"),"PRANK  LOOK HP SPBU WKWKWK")</f>
        <v>PRANK  LOOK HP SPBU WKWKWK</v>
      </c>
    </row>
    <row r="3392" spans="1:2" x14ac:dyDescent="0.2">
      <c r="A3392" s="1" t="s">
        <v>1051</v>
      </c>
      <c r="B3392" s="1" t="str">
        <f ca="1">IFERROR(__xludf.DUMFUNCTION("GOOGLETRANSLATE(A3471,""id"",""en"")"),"Yesterday used apps not served you know some of  gas stations that use apps that are self -service, aka subscribed to fill in fuel")</f>
        <v>Yesterday used apps not served you know some of  gas stations that use apps that are self -service, aka subscribed to fill in fuel</v>
      </c>
    </row>
    <row r="3393" spans="1:2" x14ac:dyDescent="0.2">
      <c r="A3393" s="1" t="s">
        <v>1052</v>
      </c>
      <c r="B3393" s="1" t="str">
        <f ca="1">IFERROR(__xludf.DUMFUNCTION("GOOGLETRANSLATE(A3472,""id"",""en"")")," Indonesia Regency is not angkot not bear selling Pertalite Selling Pertamax  directly profit")</f>
        <v xml:space="preserve"> Indonesia Regency is not angkot not bear selling Pertalite Selling Pertamax  directly profit</v>
      </c>
    </row>
    <row r="3394" spans="1:2" x14ac:dyDescent="0.2">
      <c r="A3394" s="1" t="s">
        <v>5005</v>
      </c>
      <c r="B3394" s="1" t="str">
        <f ca="1">IFERROR(__xludf.DUMFUNCTION("GOOGLETRANSLATE(A3473,""id"",""en"")"),"Make Pertalite is right to download the   Yee application")</f>
        <v>Make Pertalite is right to download the   Yee application</v>
      </c>
    </row>
    <row r="3395" spans="1:2" x14ac:dyDescent="0.2">
      <c r="A3395" s="1" t="s">
        <v>1053</v>
      </c>
      <c r="B3395" s="1" t="str">
        <f ca="1">IFERROR(__xludf.DUMFUNCTION("GOOGLETRANSLATE(A3474,""id"",""en"")"),"What is 's SPBU Congregation")</f>
        <v>What is 's SPBU Congregation</v>
      </c>
    </row>
    <row r="3396" spans="1:2" x14ac:dyDescent="0.2">
      <c r="A3396" s="1" t="s">
        <v>5006</v>
      </c>
      <c r="B3396" s="1" t="str">
        <f ca="1">IFERROR(__xludf.DUMFUNCTION("GOOGLETRANSLATE(A3475,""id"",""en"")"),"Jember SPBU in the city area can't use   wekekekekekek")</f>
        <v>Jember SPBU in the city area can't use   wekekekekekek</v>
      </c>
    </row>
    <row r="3397" spans="1:2" x14ac:dyDescent="0.2">
      <c r="A3397" s="1" t="s">
        <v>5007</v>
      </c>
      <c r="B3397" s="1" t="str">
        <f ca="1">IFERROR(__xludf.DUMFUNCTION("GOOGLETRANSLATE(A3476,""id"",""en"")"),"  Pertamax Bright Gas Gas Giveaway rjbt  Yuk Guys Follow, let's go with the giveaway")</f>
        <v xml:space="preserve">  Pertamax Bright Gas Gas Giveaway rjbt  Yuk Guys Follow, let's go with the giveaway</v>
      </c>
    </row>
    <row r="3398" spans="1:2" x14ac:dyDescent="0.2">
      <c r="A3398" s="1" t="s">
        <v>1054</v>
      </c>
      <c r="B3398" s="1" t="str">
        <f ca="1">IFERROR(__xludf.DUMFUNCTION("GOOGLETRANSLATE(A3477,""id"",""en"")"),"Bang is better if the MPR DPR MPR is already  makes it set up to ride the price")</f>
        <v>Bang is better if the MPR DPR MPR is already  makes it set up to ride the price</v>
      </c>
    </row>
    <row r="3399" spans="1:2" x14ac:dyDescent="0.2">
      <c r="A3399" s="1" t="s">
        <v>3458</v>
      </c>
      <c r="B3399" s="1" t="str">
        <f ca="1">IFERROR(__xludf.DUMFUNCTION("GOOGLETRANSLATE(A3478,""id"",""en"")"),"tight buying fuel Pertalite Solar  Buy BBM must use  July")</f>
        <v>tight buying fuel Pertalite Solar  Buy BBM must use  July</v>
      </c>
    </row>
    <row r="3400" spans="1:2" x14ac:dyDescent="0.2">
      <c r="A3400" s="1" t="s">
        <v>2910</v>
      </c>
      <c r="B3400" s="1" t="str">
        <f ca="1">IFERROR(__xludf.DUMFUNCTION("GOOGLETRANSLATE(A3479,""id"",""en"")"),"retweet posting must download the  link application private account, friend period")</f>
        <v>retweet posting must download the  link application private account, friend period</v>
      </c>
    </row>
    <row r="3401" spans="1:2" x14ac:dyDescent="0.2">
      <c r="A3401" s="1" t="s">
        <v>239</v>
      </c>
      <c r="B3401" s="1" t="str">
        <f ca="1">IFERROR(__xludf.DUMFUNCTION("GOOGLETRANSLATE(A3480,""id"",""en"")"),"Easy Must Follow Instagram Twitter Facebook Tiktok Write Jaw")</f>
        <v>Easy Must Follow Instagram Twitter Facebook Tiktok Write Jaw</v>
      </c>
    </row>
    <row r="3402" spans="1:2" x14ac:dyDescent="0.2">
      <c r="A3402" s="1" t="s">
        <v>240</v>
      </c>
      <c r="B3402" s="1" t="str">
        <f ca="1">IFERROR(__xludf.DUMFUNCTION("GOOGLETRANSLATE(A3481,""id"",""en"")"),"It's complicated")</f>
        <v>It's complicated</v>
      </c>
    </row>
    <row r="3403" spans="1:2" x14ac:dyDescent="0.2">
      <c r="A3403" s="1" t="s">
        <v>5008</v>
      </c>
      <c r="B3403" s="1" t="str">
        <f ca="1">IFERROR(__xludf.DUMFUNCTION("GOOGLETRANSLATE(A3482,""id"",""en"")"),"I don't know, I don't use  ,  loses because I have made a Gada apps hehe")</f>
        <v>I don't know, I don't use  ,  loses because I have made a Gada apps hehe</v>
      </c>
    </row>
    <row r="3404" spans="1:2" x14ac:dyDescent="0.2">
      <c r="A3404" s="1" t="s">
        <v>1055</v>
      </c>
      <c r="B3404" s="1" t="str">
        <f ca="1">IFERROR(__xludf.DUMFUNCTION("GOOGLETRANSLATE(A3483,""id"",""en"")"),"No wonder the Len btw is reog ")</f>
        <v xml:space="preserve">No wonder the Len btw is reog </v>
      </c>
    </row>
    <row r="3405" spans="1:2" x14ac:dyDescent="0.2">
      <c r="A3405" s="1" t="s">
        <v>1056</v>
      </c>
      <c r="B3405" s="1" t="str">
        <f ca="1">IFERROR(__xludf.DUMFUNCTION("GOOGLETRANSLATE(A3484,""id"",""en"")"),"Please general ATR AGAINST to unscrupulous employees of PT  who carry the letter of the Managing Director of PT  who retired Muhamad Husen who was joined the basis")</f>
        <v>Please general ATR AGAINST to unscrupulous employees of PT  who carry the letter of the Managing Director of PT  who retired Muhamad Husen who was joined the basis</v>
      </c>
    </row>
    <row r="3406" spans="1:2" x14ac:dyDescent="0.2">
      <c r="A3406" s="1" t="s">
        <v>1057</v>
      </c>
      <c r="B3406" s="1" t="str">
        <f ca="1">IFERROR(__xludf.DUMFUNCTION("GOOGLETRANSLATE(A3485,""id"",""en"")"),"Kak Nini the Real Reog ")</f>
        <v xml:space="preserve">Kak Nini the Real Reog </v>
      </c>
    </row>
    <row r="3407" spans="1:2" x14ac:dyDescent="0.2">
      <c r="A3407" s="1" t="s">
        <v>5009</v>
      </c>
      <c r="B3407" s="1" t="str">
        <f ca="1">IFERROR(__xludf.DUMFUNCTION("GOOGLETRANSLATE(A3486,""id"",""en"")"),"sorry sis, who works the gas station to pay using the application, just scan it is easy to make the system complicated   disturb")</f>
        <v>sorry sis, who works the gas station to pay using the application, just scan it is easy to make the system complicated   disturb</v>
      </c>
    </row>
    <row r="3408" spans="1:2" x14ac:dyDescent="0.2">
      <c r="A3408" s="1" t="s">
        <v>241</v>
      </c>
      <c r="B3408" s="1" t="str">
        <f ca="1">IFERROR(__xludf.DUMFUNCTION("GOOGLETRANSLATE(A3487,""id"",""en"")"),"PUBLIC LYING PUBLIC ANALYSIS")</f>
        <v>PUBLIC LYING PUBLIC ANALYSIS</v>
      </c>
    </row>
    <row r="3409" spans="1:2" x14ac:dyDescent="0.2">
      <c r="A3409" s="1" t="s">
        <v>5010</v>
      </c>
      <c r="B3409" s="1" t="str">
        <f ca="1">IFERROR(__xludf.DUMFUNCTION("GOOGLETRANSLATE(A3488,""id"",""en"")"),"Hello, hold the cellphone in front of the pump, the contents, don't leave the cellphone, open ")</f>
        <v xml:space="preserve">Hello, hold the cellphone in front of the pump, the contents, don't leave the cellphone, open </v>
      </c>
    </row>
    <row r="3410" spans="1:2" x14ac:dyDescent="0.2">
      <c r="A3410" s="1" t="s">
        <v>242</v>
      </c>
      <c r="B3410" s="1" t="str">
        <f ca="1">IFERROR(__xludf.DUMFUNCTION("GOOGLETRANSLATE(A3489,""id"",""en"")"),"if playing a cellphone isn't it")</f>
        <v>if playing a cellphone isn't it</v>
      </c>
    </row>
    <row r="3411" spans="1:2" x14ac:dyDescent="0.2">
      <c r="A3411" s="1" t="s">
        <v>1058</v>
      </c>
      <c r="B3411" s="1" t="str">
        <f ca="1">IFERROR(__xludf.DUMFUNCTION("GOOGLETRANSLATE(A3490,""id"",""en"")"),"Payment using the link just tank told to use 's apps, you better correct it so that the transaction uses a debit, not using a minimum contents of the motorbike, at least the luber luber is the stupid, it's already right shell is the satetsatset.")</f>
        <v>Payment using the link just tank told to use 's apps, you better correct it so that the transaction uses a debit, not using a minimum contents of the motorbike, at least the luber luber is the stupid, it's already right shell is the satetsatset.</v>
      </c>
    </row>
    <row r="3412" spans="1:2" x14ac:dyDescent="0.2">
      <c r="A3412" s="1" t="s">
        <v>1059</v>
      </c>
      <c r="B3412" s="1" t="str">
        <f ca="1">IFERROR(__xludf.DUMFUNCTION("GOOGLETRANSLATE(A3491,""id"",""en"")"),"if pertalite pertamax kek mas, the october gasoline is different, it's not like the car, sometimes if there is no  dex, make de like that")</f>
        <v>if pertalite pertamax kek mas, the october gasoline is different, it's not like the car, sometimes if there is no  dex, make de like that</v>
      </c>
    </row>
    <row r="3413" spans="1:2" x14ac:dyDescent="0.2">
      <c r="A3413" s="1" t="s">
        <v>1035</v>
      </c>
      <c r="B3413" s="1" t="str">
        <f ca="1">IFERROR(__xludf.DUMFUNCTION("GOOGLETRANSLATE(A3492,""id"",""en"")"),"Ahok adopted Commissioner  Alumni Itching Klau Ahok President Modiar")</f>
        <v>Ahok adopted Commissioner  Alumni Itching Klau Ahok President Modiar</v>
      </c>
    </row>
    <row r="3414" spans="1:2" x14ac:dyDescent="0.2">
      <c r="A3414" s="1" t="s">
        <v>1060</v>
      </c>
      <c r="B3414" s="1" t="str">
        <f ca="1">IFERROR(__xludf.DUMFUNCTION("GOOGLETRANSLATE(A3493,""id"",""en"")"),"'s efforts that I don't carry jerry cans buy fuel, the results of the pol for the re -limit of the contents are already in the modification")</f>
        <v>'s efforts that I don't carry jerry cans buy fuel, the results of the pol for the re -limit of the contents are already in the modification</v>
      </c>
    </row>
    <row r="3415" spans="1:2" x14ac:dyDescent="0.2">
      <c r="A3415" s="1" t="s">
        <v>1061</v>
      </c>
      <c r="B3415" s="1" t="str">
        <f ca="1">IFERROR(__xludf.DUMFUNCTION("GOOGLETRANSLATE(A3494,""id"",""en"")"),"Kepul tuh who arrested knowing those who didn't catch knowing those who didn't catch knowing  who were completed, wasn't the one who tried")</f>
        <v>Kepul tuh who arrested knowing those who didn't catch knowing those who didn't catch knowing  who were completed, wasn't the one who tried</v>
      </c>
    </row>
    <row r="3416" spans="1:2" x14ac:dyDescent="0.2">
      <c r="A3416" s="1" t="s">
        <v>243</v>
      </c>
      <c r="B3416" s="1" t="str">
        <f ca="1">IFERROR(__xludf.DUMFUNCTION("GOOGLETRANSLATE(A3495,""id"",""en"")"),"Wait for Mbah Btw Jokowi Layat Europe")</f>
        <v>Wait for Mbah Btw Jokowi Layat Europe</v>
      </c>
    </row>
    <row r="3417" spans="1:2" x14ac:dyDescent="0.2">
      <c r="A3417" s="1" t="s">
        <v>5011</v>
      </c>
      <c r="B3417" s="1" t="str">
        <f ca="1">IFERROR(__xludf.DUMFUNCTION("GOOGLETRANSLATE(A3496,""id"",""en"")"),"Pay using  Shell Cashless using Gopay, bro, read https")</f>
        <v>Pay using  Shell Cashless using Gopay, bro, read https</v>
      </c>
    </row>
    <row r="3418" spans="1:2" x14ac:dyDescent="0.2">
      <c r="A3418" s="1" t="s">
        <v>244</v>
      </c>
      <c r="B3418" s="1" t="str">
        <f ca="1">IFERROR(__xludf.DUMFUNCTION("GOOGLETRANSLATE(A3497,""id"",""en"")"),"It's really complicated, the app if it's really oil distribution, yes, the application")</f>
        <v>It's really complicated, the app if it's really oil distribution, yes, the application</v>
      </c>
    </row>
    <row r="3419" spans="1:2" x14ac:dyDescent="0.2">
      <c r="A3419" s="1" t="s">
        <v>1062</v>
      </c>
      <c r="B3419" s="1" t="str">
        <f ca="1">IFERROR(__xludf.DUMFUNCTION("GOOGLETRANSLATE(A3498,""id"",""en"")"),"General ATR Arrests unscrupulous employees of PT  Legal Assets HR AMP Check General ATR Membahang TNI Kodim Sukabumi who guard the concrete fence over the former land of PT PAS")</f>
        <v>General ATR Arrests unscrupulous employees of PT  Legal Assets HR AMP Check General ATR Membahang TNI Kodim Sukabumi who guard the concrete fence over the former land of PT PAS</v>
      </c>
    </row>
    <row r="3420" spans="1:2" x14ac:dyDescent="0.2">
      <c r="A3420" s="1" t="s">
        <v>1063</v>
      </c>
      <c r="B3420" s="1" t="str">
        <f ca="1">IFERROR(__xludf.DUMFUNCTION("GOOGLETRANSLATE(A3499,""id"",""en"")"),"people actions the regime to buy migor must use the KTP of the Protection Care Application to Buy BBM using the application from  KLU Sejahtera Pembut People with the Set Ukraine Unfaedah")</f>
        <v>people actions the regime to buy migor must use the KTP of the Protection Care Application to Buy BBM using the application from  KLU Sejahtera Pembut People with the Set Ukraine Unfaedah</v>
      </c>
    </row>
    <row r="3421" spans="1:2" x14ac:dyDescent="0.2">
      <c r="A3421" s="1" t="s">
        <v>1064</v>
      </c>
      <c r="B3421" s="1" t="str">
        <f ca="1">IFERROR(__xludf.DUMFUNCTION("GOOGLETRANSLATE(A3500,""id"",""en"")"),"Last night discussing  first really random people")</f>
        <v>Last night discussing  first really random people</v>
      </c>
    </row>
    <row r="3422" spans="1:2" x14ac:dyDescent="0.2">
      <c r="A3422" s="1" t="s">
        <v>245</v>
      </c>
      <c r="B3422" s="1" t="str">
        <f ca="1">IFERROR(__xludf.DUMFUNCTION("GOOGLETRANSLATE(A3501,""id"",""en"")"),"wkwk ajg is really the one who is the cellphone")</f>
        <v>wkwk ajg is really the one who is the cellphone</v>
      </c>
    </row>
    <row r="3423" spans="1:2" x14ac:dyDescent="0.2">
      <c r="A3423" s="1" t="s">
        <v>246</v>
      </c>
      <c r="B3423" s="1" t="str">
        <f ca="1">IFERROR(__xludf.DUMFUNCTION("GOOGLETRANSLATE(A3502,""id"",""en"")"),"Self Service Lip Service")</f>
        <v>Self Service Lip Service</v>
      </c>
    </row>
    <row r="3424" spans="1:2" x14ac:dyDescent="0.2">
      <c r="A3424" s="1" t="s">
        <v>247</v>
      </c>
      <c r="B3424" s="1" t="str">
        <f ca="1">IFERROR(__xludf.DUMFUNCTION("GOOGLETRANSLATE(A3503,""id"",""en"")"),"fortunately you are a citizen of Singapore Mat there to think logically the purpose of your Arab citizen already a hafter.")</f>
        <v>fortunately you are a citizen of Singapore Mat there to think logically the purpose of your Arab citizen already a hafter.</v>
      </c>
    </row>
    <row r="3425" spans="1:2" x14ac:dyDescent="0.2">
      <c r="A3425" s="1" t="s">
        <v>5012</v>
      </c>
      <c r="B3425" s="1" t="str">
        <f ca="1">IFERROR(__xludf.DUMFUNCTION("GOOGLETRANSLATE(A3504,""id"",""en"")"),"Seriously Buy Pertalite Sen   Application")</f>
        <v>Seriously Buy Pertalite Sen   Application</v>
      </c>
    </row>
    <row r="3426" spans="1:2" x14ac:dyDescent="0.2">
      <c r="A3426" s="1" t="s">
        <v>5013</v>
      </c>
      <c r="B3426" s="1" t="str">
        <f ca="1">IFERROR(__xludf.DUMFUNCTION("GOOGLETRANSLATE(A3505,""id"",""en"")"),"Pom Written Forbid Meng HP Application Ya Petralite Using   Application The concept is game")</f>
        <v>Pom Written Forbid Meng HP Application Ya Petralite Using   Application The concept is game</v>
      </c>
    </row>
    <row r="3427" spans="1:2" x14ac:dyDescent="0.2">
      <c r="A3427" s="1" t="s">
        <v>5014</v>
      </c>
      <c r="B3427" s="1" t="str">
        <f ca="1">IFERROR(__xludf.DUMFUNCTION("GOOGLETRANSLATE(A3506,""id"",""en"")")," Girlfriend Ae Gaduwe Opo Maneh  ")</f>
        <v xml:space="preserve"> Girlfriend Ae Gaduwe Opo Maneh  </v>
      </c>
    </row>
    <row r="3428" spans="1:2" x14ac:dyDescent="0.2">
      <c r="A3428" s="1" t="s">
        <v>1065</v>
      </c>
      <c r="B3428" s="1" t="str">
        <f ca="1">IFERROR(__xludf.DUMFUNCTION("GOOGLETRANSLATE(A3507,""id"",""en"")"),"General ATR ATR Land with an Employee Employee PT  Center for Concrete Fence Members TNI Kodim Sukabumi who knows the Land Checks Irjen Dagri Department")</f>
        <v>General ATR ATR Land with an Employee Employee PT  Center for Concrete Fence Members TNI Kodim Sukabumi who knows the Land Checks Irjen Dagri Department</v>
      </c>
    </row>
    <row r="3429" spans="1:2" x14ac:dyDescent="0.2">
      <c r="A3429" s="1" t="s">
        <v>1066</v>
      </c>
      <c r="B3429" s="1" t="str">
        <f ca="1">IFERROR(__xludf.DUMFUNCTION("GOOGLETRANSLATE(A3508,""id"",""en"")")," Loss Rp. Trillun Petronas profit Rp.")</f>
        <v xml:space="preserve"> Loss Rp. Trillun Petronas profit Rp.</v>
      </c>
    </row>
    <row r="3430" spans="1:2" x14ac:dyDescent="0.2">
      <c r="A3430" s="1" t="s">
        <v>5015</v>
      </c>
      <c r="B3430" s="1" t="str">
        <f ca="1">IFERROR(__xludf.DUMFUNCTION("GOOGLETRANSLATE(A3509,""id"",""en"")"),"the heart to the village people of the village does not know the app   app care so it is difficult")</f>
        <v>the heart to the village people of the village does not know the app   app care so it is difficult</v>
      </c>
    </row>
    <row r="3431" spans="1:2" x14ac:dyDescent="0.2">
      <c r="A3431" s="1" t="s">
        <v>1067</v>
      </c>
      <c r="B3431" s="1" t="str">
        <f ca="1">IFERROR(__xludf.DUMFUNCTION("GOOGLETRANSLATE(A3510,""id"",""en"")")," Patra Niaga Sub Holding Commercial AMP Trading PT  Persero Trial Saying Selling Pertalite Solar to Register")</f>
        <v xml:space="preserve"> Patra Niaga Sub Holding Commercial AMP Trading PT  Persero Trial Saying Selling Pertalite Solar to Register</v>
      </c>
    </row>
    <row r="3432" spans="1:2" x14ac:dyDescent="0.2">
      <c r="A3432" s="1" t="s">
        <v>1068</v>
      </c>
      <c r="B3432" s="1" t="str">
        <f ca="1">IFERROR(__xludf.DUMFUNCTION("GOOGLETRANSLATE(A3511,""id"",""en"")"),"Pantesan  Teu Forward Beak Koringheun Hayang Neang Untung Tinu Meuli Nanaon App Application Ku Money  Cik Application  Mun Teu Boga Quota Hp Boga Na Moal Meuli Pertalite Wise Koclak Koclak")</f>
        <v>Pantesan  Teu Forward Beak Koringheun Hayang Neang Untung Tinu Meuli Nanaon App Application Ku Money  Cik Application  Mun Teu Boga Quota Hp Boga Na Moal Meuli Pertalite Wise Koclak Koclak</v>
      </c>
    </row>
    <row r="3433" spans="1:2" x14ac:dyDescent="0.2">
      <c r="A3433" s="1" t="s">
        <v>1069</v>
      </c>
      <c r="B3433" s="1" t="str">
        <f ca="1">IFERROR(__xludf.DUMFUNCTION("GOOGLETRANSLATE(A3512,""id"",""en"")"),"bro, buy pertalite using an old office official car, mas , for a moment, you will be responsible")</f>
        <v>bro, buy pertalite using an old office official car, mas , for a moment, you will be responsible</v>
      </c>
    </row>
    <row r="3434" spans="1:2" x14ac:dyDescent="0.2">
      <c r="A3434" s="1" t="s">
        <v>1070</v>
      </c>
      <c r="B3434" s="1" t="str">
        <f ca="1">IFERROR(__xludf.DUMFUNCTION("GOOGLETRANSLATE(A3513,""id"",""en"")"),"Just work with , how is the market for the company, the profit must be a customer, the app.")</f>
        <v>Just work with , how is the market for the company, the profit must be a customer, the app.</v>
      </c>
    </row>
    <row r="3435" spans="1:2" x14ac:dyDescent="0.2">
      <c r="A3435" s="1" t="s">
        <v>1071</v>
      </c>
      <c r="B3435" s="1" t="str">
        <f ca="1">IFERROR(__xludf.DUMFUNCTION("GOOGLETRANSLATE(A3514,""id"",""en"")"),"If  doesn't turn on your cellphone")</f>
        <v>If  doesn't turn on your cellphone</v>
      </c>
    </row>
    <row r="3436" spans="1:2" x14ac:dyDescent="0.2">
      <c r="A3436" s="1" t="s">
        <v>1072</v>
      </c>
      <c r="B3436" s="1" t="str">
        <f ca="1">IFERROR(__xludf.DUMFUNCTION("GOOGLETRANSLATE(A3515,""id"",""en"")"),"God's son is busy taking care of ")</f>
        <v xml:space="preserve">God's son is busy taking care of </v>
      </c>
    </row>
    <row r="3437" spans="1:2" x14ac:dyDescent="0.2">
      <c r="A3437" s="1" t="s">
        <v>5016</v>
      </c>
      <c r="B3437" s="1" t="str">
        <f ca="1">IFERROR(__xludf.DUMFUNCTION("GOOGLETRANSLATE(A3516,""id"",""en"")"),"  makes it complicated")</f>
        <v xml:space="preserve">  makes it complicated</v>
      </c>
    </row>
    <row r="3438" spans="1:2" x14ac:dyDescent="0.2">
      <c r="A3438" s="1" t="s">
        <v>1073</v>
      </c>
      <c r="B3438" s="1" t="str">
        <f ca="1">IFERROR(__xludf.DUMFUNCTION("GOOGLETRANSLATE(A3517,""id"",""en"")"),"I already have a dizzy debit card, I don't pay adm cards using a delicious mobile banking, the lazy throwing money is please, please wisely if the    is wise")</f>
        <v>I already have a dizzy debit card, I don't pay adm cards using a delicious mobile banking, the lazy throwing money is please, please wisely if the    is wise</v>
      </c>
    </row>
    <row r="3439" spans="1:2" x14ac:dyDescent="0.2">
      <c r="A3439" s="1" t="s">
        <v>1074</v>
      </c>
      <c r="B3439" s="1" t="str">
        <f ca="1">IFERROR(__xludf.DUMFUNCTION("GOOGLETRANSLATE(A3519,""id"",""en"")")," is obliged to buy BBM Pertalite Solar List Suitable Data July CNNIndonesia detikNetwork")</f>
        <v xml:space="preserve"> is obliged to buy BBM Pertalite Solar List Suitable Data July CNNIndonesia detikNetwork</v>
      </c>
    </row>
    <row r="3440" spans="1:2" x14ac:dyDescent="0.2">
      <c r="A3440" s="1" t="s">
        <v>248</v>
      </c>
      <c r="B3440" s="1" t="str">
        <f ca="1">IFERROR(__xludf.DUMFUNCTION("GOOGLETRANSLATE(A3520,""id"",""en"")"),"The Task of the President Commissioner is one of the alert to the streets of the business")</f>
        <v>The Task of the President Commissioner is one of the alert to the streets of the business</v>
      </c>
    </row>
    <row r="3441" spans="1:2" x14ac:dyDescent="0.2">
      <c r="A3441" s="1" t="s">
        <v>249</v>
      </c>
      <c r="B3441" s="1" t="str">
        <f ca="1">IFERROR(__xludf.DUMFUNCTION("GOOGLETRANSLATE(A3521,""id"",""en"")"),"Not Nyiyirin Jokowi Ukraine Russia")</f>
        <v>Not Nyiyirin Jokowi Ukraine Russia</v>
      </c>
    </row>
    <row r="3442" spans="1:2" x14ac:dyDescent="0.2">
      <c r="A3442" s="1" t="s">
        <v>1075</v>
      </c>
      <c r="B3442" s="1" t="str">
        <f ca="1">IFERROR(__xludf.DUMFUNCTION("GOOGLETRANSLATE(A3522,""id"",""en"")")," Commissioner Yang Jawb Mgkn")</f>
        <v xml:space="preserve"> Commissioner Yang Jawb Mgkn</v>
      </c>
    </row>
    <row r="3443" spans="1:2" x14ac:dyDescent="0.2">
      <c r="A3443" s="1" t="s">
        <v>5017</v>
      </c>
      <c r="B3443" s="1" t="str">
        <f ca="1">IFERROR(__xludf.DUMFUNCTION("GOOGLETRANSLATE(A3523,""id"",""en"")"),"Reject  , SPBU Operators with Easy Alas Sdg Net Error Print Paper Use Enjoy Receive Buy  Cash Sidak SPBU DEH")</f>
        <v>Reject  , SPBU Operators with Easy Alas Sdg Net Error Print Paper Use Enjoy Receive Buy  Cash Sidak SPBU DEH</v>
      </c>
    </row>
    <row r="3444" spans="1:2" x14ac:dyDescent="0.2">
      <c r="A3444" s="1" t="s">
        <v>5018</v>
      </c>
      <c r="B3444" s="1" t="str">
        <f ca="1">IFERROR(__xludf.DUMFUNCTION("GOOGLETRANSLATE(A3524,""id"",""en"")"),"  input Kendara Number")</f>
        <v xml:space="preserve">  input Kendara Number</v>
      </c>
    </row>
    <row r="3445" spans="1:2" x14ac:dyDescent="0.2">
      <c r="A3445" s="1" t="s">
        <v>250</v>
      </c>
      <c r="B3445" s="1" t="str">
        <f ca="1">IFERROR(__xludf.DUMFUNCTION("GOOGLETRANSLATE(A3525,""id"",""en"")"),"buzzer terna on good job comments")</f>
        <v>buzzer terna on good job comments</v>
      </c>
    </row>
    <row r="3446" spans="1:2" x14ac:dyDescent="0.2">
      <c r="A3446" s="1" t="s">
        <v>1076</v>
      </c>
      <c r="B3446" s="1" t="str">
        <f ca="1">IFERROR(__xludf.DUMFUNCTION("GOOGLETRANSLATE(A3526,""id"",""en"")")," May develops Pertashop to study Pertamini, the driver is urinating any employee POM Kongkalikong buying using jerry cans")</f>
        <v xml:space="preserve"> May develops Pertashop to study Pertamini, the driver is urinating any employee POM Kongkalikong buying using jerry cans</v>
      </c>
    </row>
    <row r="3447" spans="1:2" x14ac:dyDescent="0.2">
      <c r="A3447" s="1" t="s">
        <v>1077</v>
      </c>
      <c r="B3447" s="1" t="str">
        <f ca="1">IFERROR(__xludf.DUMFUNCTION("GOOGLETRANSLATE(A3527,""id"",""en"")"),"'s top haters.")</f>
        <v>'s top haters.</v>
      </c>
    </row>
    <row r="3448" spans="1:2" x14ac:dyDescent="0.2">
      <c r="A3448" s="1" t="s">
        <v>251</v>
      </c>
      <c r="B3448" s="1" t="str">
        <f ca="1">IFERROR(__xludf.DUMFUNCTION("GOOGLETRANSLATE(A3528,""id"",""en"")"),"Improved buying pertalite using an application not advertising community service that tells")</f>
        <v>Improved buying pertalite using an application not advertising community service that tells</v>
      </c>
    </row>
    <row r="3449" spans="1:2" x14ac:dyDescent="0.2">
      <c r="A3449" s="1" t="s">
        <v>1078</v>
      </c>
      <c r="B3449" s="1" t="str">
        <f ca="1">IFERROR(__xludf.DUMFUNCTION("GOOGLETRANSLATE(A3529,""id"",""en"")"),"Nitip added  Sultan Tajir Buy a cellphone that stuck cma wa amp tuiteran browser lhoo")</f>
        <v>Nitip added  Sultan Tajir Buy a cellphone that stuck cma wa amp tuiteran browser lhoo</v>
      </c>
    </row>
    <row r="3450" spans="1:2" x14ac:dyDescent="0.2">
      <c r="A3450" s="1" t="s">
        <v>1079</v>
      </c>
      <c r="B3450" s="1" t="str">
        <f ca="1">IFERROR(__xludf.DUMFUNCTION("GOOGLETRANSLATE(A3530,""id"",""en"")"),"What I thought was when I saw the news of PAN, I didn't play your cellphone, Begimane, ")</f>
        <v xml:space="preserve">What I thought was when I saw the news of PAN, I didn't play your cellphone, Begimane, </v>
      </c>
    </row>
    <row r="3451" spans="1:2" x14ac:dyDescent="0.2">
      <c r="A3451" s="1" t="s">
        <v>252</v>
      </c>
      <c r="B3451" s="1" t="str">
        <f ca="1">IFERROR(__xludf.DUMFUNCTION("GOOGLETRANSLATE(A3531,""id"",""en"")"),"Sih Bandung is in Tangerang")</f>
        <v>Sih Bandung is in Tangerang</v>
      </c>
    </row>
    <row r="3452" spans="1:2" x14ac:dyDescent="0.2">
      <c r="A3452" s="1" t="s">
        <v>1080</v>
      </c>
      <c r="B3452" s="1" t="str">
        <f ca="1">IFERROR(__xludf.DUMFUNCTION("GOOGLETRANSLATE(A3532,""id"",""en"")"),"Use Vivo wkwkwk  OPTION GA VIVO")</f>
        <v>Use Vivo wkwkwk  OPTION GA VIVO</v>
      </c>
    </row>
    <row r="3453" spans="1:2" x14ac:dyDescent="0.2">
      <c r="A3453" s="1" t="s">
        <v>1081</v>
      </c>
      <c r="B3453" s="1" t="str">
        <f ca="1">IFERROR(__xludf.DUMFUNCTION("GOOGLETRANSLATE(A3533,""id"",""en"")"),"Iyo POM ")</f>
        <v xml:space="preserve">Iyo POM </v>
      </c>
    </row>
    <row r="3454" spans="1:2" x14ac:dyDescent="0.2">
      <c r="A3454" s="1" t="s">
        <v>253</v>
      </c>
      <c r="B3454" s="1" t="str">
        <f ca="1">IFERROR(__xludf.DUMFUNCTION("GOOGLETRANSLATE(A3534,""id"",""en"")"),"gin so that the application to sell money is the story")</f>
        <v>gin so that the application to sell money is the story</v>
      </c>
    </row>
    <row r="3455" spans="1:2" x14ac:dyDescent="0.2">
      <c r="A3455" s="1" t="s">
        <v>254</v>
      </c>
      <c r="B3455" s="1" t="str">
        <f ca="1">IFERROR(__xludf.DUMFUNCTION("GOOGLETRANSLATE(A3537,""id"",""en"")"),"Really Mak")</f>
        <v>Really Mak</v>
      </c>
    </row>
    <row r="3456" spans="1:2" x14ac:dyDescent="0.2">
      <c r="A3456" s="1" t="s">
        <v>5019</v>
      </c>
      <c r="B3456" s="1" t="str">
        <f ca="1">IFERROR(__xludf.DUMFUNCTION("GOOGLETRANSLATE(A3538,""id"",""en"")"),"Business Opportunities Hanging out gas stations Open   application input services")</f>
        <v>Business Opportunities Hanging out gas stations Open   application input services</v>
      </c>
    </row>
    <row r="3457" spans="1:2" x14ac:dyDescent="0.2">
      <c r="A3457" s="1" t="s">
        <v>255</v>
      </c>
      <c r="B3457" s="1" t="str">
        <f ca="1">IFERROR(__xludf.DUMFUNCTION("GOOGLETRANSLATE(A3539,""id"",""en"")"),"wise -wisdom juatru that people are not smartphone")</f>
        <v>wise -wisdom juatru that people are not smartphone</v>
      </c>
    </row>
    <row r="3458" spans="1:2" x14ac:dyDescent="0.2">
      <c r="A3458" s="1" t="s">
        <v>256</v>
      </c>
      <c r="B3458" s="1" t="str">
        <f ca="1">IFERROR(__xludf.DUMFUNCTION("GOOGLETRANSLATE(A3540,""id"",""en"")"),"wise that is difficult for the people of Indonesia, Indonesian Jawa Bal Gana, the area of ​​the pencil does not use applications is complicated")</f>
        <v>wise that is difficult for the people of Indonesia, Indonesian Jawa Bal Gana, the area of ​​the pencil does not use applications is complicated</v>
      </c>
    </row>
    <row r="3459" spans="1:2" x14ac:dyDescent="0.2">
      <c r="A3459" s="1" t="s">
        <v>257</v>
      </c>
      <c r="B3459" s="1" t="str">
        <f ca="1">IFERROR(__xludf.DUMFUNCTION("GOOGLETRANSLATE(A3541,""id"",""en"")"),"Thinking of it")</f>
        <v>Thinking of it</v>
      </c>
    </row>
    <row r="3460" spans="1:2" x14ac:dyDescent="0.2">
      <c r="A3460" s="1" t="s">
        <v>1082</v>
      </c>
      <c r="B3460" s="1" t="str">
        <f ca="1">IFERROR(__xludf.DUMFUNCTION("GOOGLETRANSLATE(A3542,""id"",""en"")"),"Warm Kiss  Truck")</f>
        <v>Warm Kiss  Truck</v>
      </c>
    </row>
    <row r="3461" spans="1:2" x14ac:dyDescent="0.2">
      <c r="A3461" s="1" t="s">
        <v>1083</v>
      </c>
      <c r="B3461" s="1" t="str">
        <f ca="1">IFERROR(__xludf.DUMFUNCTION("GOOGLETRANSLATE(A3543,""id"",""en"")"),"List of 's online contents")</f>
        <v>List of 's online contents</v>
      </c>
    </row>
    <row r="3462" spans="1:2" x14ac:dyDescent="0.2">
      <c r="A3462" s="1" t="s">
        <v>258</v>
      </c>
      <c r="B3462" s="1" t="str">
        <f ca="1">IFERROR(__xludf.DUMFUNCTION("GOOGLETRANSLATE(A3544,""id"",""en"")"),"invites Eta mah")</f>
        <v>invites Eta mah</v>
      </c>
    </row>
    <row r="3463" spans="1:2" x14ac:dyDescent="0.2">
      <c r="A3463" s="1" t="s">
        <v>5020</v>
      </c>
      <c r="B3463" s="1" t="str">
        <f ca="1">IFERROR(__xludf.DUMFUNCTION("GOOGLETRANSLATE(A3545,""id"",""en"")"),"excited about buying bbm gas stations using  application")</f>
        <v>excited about buying bbm gas stations using  application</v>
      </c>
    </row>
    <row r="3464" spans="1:2" x14ac:dyDescent="0.2">
      <c r="A3464" s="1" t="s">
        <v>5021</v>
      </c>
      <c r="B3464" s="1" t="str">
        <f ca="1">IFERROR(__xludf.DUMFUNCTION("GOOGLETRANSLATE(A3546,""id"",""en"")"),"Gausa uses   ain qris pom already")</f>
        <v>Gausa uses   ain qris pom already</v>
      </c>
    </row>
    <row r="3465" spans="1:2" x14ac:dyDescent="0.2">
      <c r="A3465" s="1" t="s">
        <v>259</v>
      </c>
      <c r="B3465" s="1" t="str">
        <f ca="1">IFERROR(__xludf.DUMFUNCTION("GOOGLETRANSLATE(A3547,""id"",""en"")"),"buy migor using buying pertalite using complicated people")</f>
        <v>buy migor using buying pertalite using complicated people</v>
      </c>
    </row>
    <row r="3466" spans="1:2" x14ac:dyDescent="0.2">
      <c r="A3466" s="1" t="s">
        <v>260</v>
      </c>
      <c r="B3466" s="1" t="str">
        <f ca="1">IFERROR(__xludf.DUMFUNCTION("GOOGLETRANSLATE(A3548,""id"",""en"")"),"Indonesia is difficult for people to have difficulty difficult orders for wise people to adapt to the adaptation of adaptation")</f>
        <v>Indonesia is difficult for people to have difficulty difficult orders for wise people to adapt to the adaptation of adaptation</v>
      </c>
    </row>
    <row r="3467" spans="1:2" x14ac:dyDescent="0.2">
      <c r="A3467" s="1" t="s">
        <v>1084</v>
      </c>
      <c r="B3467" s="1" t="str">
        <f ca="1">IFERROR(__xludf.DUMFUNCTION("GOOGLETRANSLATE(A3549,""id"",""en"")"),"ahhhh the name licks the shame of the shame of the  class but the bacot is not holding")</f>
        <v>ahhhh the name licks the shame of the shame of the  class but the bacot is not holding</v>
      </c>
    </row>
    <row r="3468" spans="1:2" x14ac:dyDescent="0.2">
      <c r="A3468" s="1" t="s">
        <v>1001</v>
      </c>
      <c r="B3468" s="1" t="str">
        <f ca="1">IFERROR(__xludf.DUMFUNCTION("GOOGLETRANSLATE(A3550,""id"",""en"")")," era ahok is easy")</f>
        <v xml:space="preserve"> era ahok is easy</v>
      </c>
    </row>
    <row r="3469" spans="1:2" x14ac:dyDescent="0.2">
      <c r="A3469" s="1" t="s">
        <v>1085</v>
      </c>
      <c r="B3469" s="1" t="str">
        <f ca="1">IFERROR(__xludf.DUMFUNCTION("GOOGLETRANSLATE(A3551,""id"",""en"")"),"Fill in  PT duggnya music maen maen just fill in gasoline")</f>
        <v>Fill in  PT duggnya music maen maen just fill in gasoline</v>
      </c>
    </row>
    <row r="3470" spans="1:2" x14ac:dyDescent="0.2">
      <c r="A3470" s="1" t="s">
        <v>5022</v>
      </c>
      <c r="B3470" s="1" t="str">
        <f ca="1">IFERROR(__xludf.DUMFUNCTION("GOOGLETRANSLATE(A3552,""id"",""en"")"),"Yes, Pay Cashless's business is usually seagrass, the contents of the Balance Aya are the cost of the admin.")</f>
        <v>Yes, Pay Cashless's business is usually seagrass, the contents of the Balance Aya are the cost of the admin.</v>
      </c>
    </row>
    <row r="3471" spans="1:2" x14ac:dyDescent="0.2">
      <c r="A3471" s="1" t="s">
        <v>261</v>
      </c>
      <c r="B3471" s="1" t="str">
        <f ca="1">IFERROR(__xludf.DUMFUNCTION("GOOGLETRANSLATE(A3553,""id"",""en"")"),"try wisely the logical people stuttering technology to buy fuel subsidies is difficult to end the benefits of people looking for profit try to evaluate people who know install the application of people who buy gadgets")</f>
        <v>try wisely the logical people stuttering technology to buy fuel subsidies is difficult to end the benefits of people looking for profit try to evaluate people who know install the application of people who buy gadgets</v>
      </c>
    </row>
    <row r="3472" spans="1:2" x14ac:dyDescent="0.2">
      <c r="A3472" s="1" t="s">
        <v>1086</v>
      </c>
      <c r="B3472" s="1" t="str">
        <f ca="1">IFERROR(__xludf.DUMFUNCTION("GOOGLETRANSLATE(A3554,""id"",""en"")"),"what I imagine in understanding installing the app is not protesting but the balance of BPK   People demands justice")</f>
        <v>what I imagine in understanding installing the app is not protesting but the balance of BPK   People demands justice</v>
      </c>
    </row>
    <row r="3473" spans="1:2" x14ac:dyDescent="0.2">
      <c r="A3473" s="1" t="s">
        <v>1087</v>
      </c>
      <c r="B3473" s="1" t="str">
        <f ca="1">IFERROR(__xludf.DUMFUNCTION("GOOGLETRANSLATE(A3555,""id"",""en"")")," try to sell well fuel subsidized sarapar")</f>
        <v xml:space="preserve"> try to sell well fuel subsidized sarapar</v>
      </c>
    </row>
    <row r="3474" spans="1:2" x14ac:dyDescent="0.2">
      <c r="A3474" s="1" t="s">
        <v>262</v>
      </c>
      <c r="B3474" s="1" t="str">
        <f ca="1">IFERROR(__xludf.DUMFUNCTION("GOOGLETRANSLATE(A3556,""id"",""en"")"),"Nitip Puang State people fill in BBM contents using complicated live applications")</f>
        <v>Nitip Puang State people fill in BBM contents using complicated live applications</v>
      </c>
    </row>
    <row r="3475" spans="1:2" x14ac:dyDescent="0.2">
      <c r="A3475" s="1" t="s">
        <v>5023</v>
      </c>
      <c r="B3475" s="1" t="str">
        <f ca="1">IFERROR(__xludf.DUMFUNCTION("GOOGLETRANSLATE(A3557,""id"",""en"")"),"after downloading, just make a   link, it's cool when the contents of the margonda clock haven't been in the afternoon if you use the application, the July tea is required by the gas station.")</f>
        <v>after downloading, just make a   link, it's cool when the contents of the margonda clock haven't been in the afternoon if you use the application, the July tea is required by the gas station.</v>
      </c>
    </row>
    <row r="3476" spans="1:2" x14ac:dyDescent="0.2">
      <c r="A3476" s="1" t="s">
        <v>263</v>
      </c>
      <c r="B3476" s="1" t="str">
        <f ca="1">IFERROR(__xludf.DUMFUNCTION("GOOGLETRANSLATE(A3558,""id"",""en"")"),"CLOSE STUP")</f>
        <v>CLOSE STUP</v>
      </c>
    </row>
    <row r="3477" spans="1:2" x14ac:dyDescent="0.2">
      <c r="A3477" s="1" t="s">
        <v>264</v>
      </c>
      <c r="B3477" s="1" t="str">
        <f ca="1">IFERROR(__xludf.DUMFUNCTION("GOOGLETRANSLATE(A3559,""id"",""en"")"),"dangerous, the cellphone came out, then the net that signal the danger")</f>
        <v>dangerous, the cellphone came out, then the net that signal the danger</v>
      </c>
    </row>
    <row r="3478" spans="1:2" x14ac:dyDescent="0.2">
      <c r="A3478" s="1" t="s">
        <v>1088</v>
      </c>
      <c r="B3478" s="1" t="str">
        <f ca="1">IFERROR(__xludf.DUMFUNCTION("GOOGLETRANSLATE(A3560,""id"",""en"")"),"Profile of Iman Rachman President Director of Bei Lenggang ")</f>
        <v xml:space="preserve">Profile of Iman Rachman President Director of Bei Lenggang </v>
      </c>
    </row>
    <row r="3479" spans="1:2" x14ac:dyDescent="0.2">
      <c r="A3479" s="1" t="s">
        <v>1089</v>
      </c>
      <c r="B3479" s="1" t="str">
        <f ca="1">IFERROR(__xludf.DUMFUNCTION("GOOGLETRANSLATE(A3561,""id"",""en"")"),"Shell Pump Technology Different from ")</f>
        <v xml:space="preserve">Shell Pump Technology Different from </v>
      </c>
    </row>
    <row r="3480" spans="1:2" x14ac:dyDescent="0.2">
      <c r="A3480" s="1" t="s">
        <v>5024</v>
      </c>
      <c r="B3480" s="1" t="str">
        <f ca="1">IFERROR(__xludf.DUMFUNCTION("GOOGLETRANSLATE(A3562,""id"",""en"")")," tests using  to buy a solar pertalite who bought subsidies for people not Polyponic cellphones")</f>
        <v xml:space="preserve"> tests using  to buy a solar pertalite who bought subsidies for people not Polyponic cellphones</v>
      </c>
    </row>
    <row r="3481" spans="1:2" x14ac:dyDescent="0.2">
      <c r="A3481" s="1" t="s">
        <v>5025</v>
      </c>
      <c r="B3481" s="1" t="str">
        <f ca="1">IFERROR(__xludf.DUMFUNCTION("GOOGLETRANSLATE(A3563,""id"",""en"")"),"Please sell for the application for the   application to buy fuel forbidden to play a gas station")</f>
        <v>Please sell for the application for the   application to buy fuel forbidden to play a gas station</v>
      </c>
    </row>
    <row r="3482" spans="1:2" x14ac:dyDescent="0.2">
      <c r="A3482" s="1" t="s">
        <v>1090</v>
      </c>
      <c r="B3482" s="1" t="str">
        <f ca="1">IFERROR(__xludf.DUMFUNCTION("GOOGLETRANSLATE(A3564,""id"",""en"")"),"Consumers who fill BBM Pertalite Solar if not with a pump with the area of ​​the gas station in the date of Loyal Consumers  must activate the cellphone using the Min toilet application")</f>
        <v>Consumers who fill BBM Pertalite Solar if not with a pump with the area of ​​the gas station in the date of Loyal Consumers  must activate the cellphone using the Min toilet application</v>
      </c>
    </row>
    <row r="3483" spans="1:2" x14ac:dyDescent="0.2">
      <c r="A3483" s="1" t="s">
        <v>5026</v>
      </c>
      <c r="B3483" s="1" t="str">
        <f ca="1">IFERROR(__xludf.DUMFUNCTION("GOOGLETRANSLATE(A3565,""id"",""en"")"),"It's really complicated to use   developer thinking about the field technical field")</f>
        <v>It's really complicated to use   developer thinking about the field technical field</v>
      </c>
    </row>
    <row r="3484" spans="1:2" x14ac:dyDescent="0.2">
      <c r="A3484" s="1" t="s">
        <v>5027</v>
      </c>
      <c r="B3484" s="1" t="str">
        <f ca="1">IFERROR(__xludf.DUMFUNCTION("GOOGLETRANSLATE(A3566,""id"",""en"")")," Trial Buy Pertalite Solar to List  Web AppS Sites")</f>
        <v xml:space="preserve"> Trial Buy Pertalite Solar to List  Web AppS Sites</v>
      </c>
    </row>
    <row r="3485" spans="1:2" x14ac:dyDescent="0.2">
      <c r="A3485" s="1" t="s">
        <v>1091</v>
      </c>
      <c r="B3485" s="1" t="str">
        <f ca="1">IFERROR(__xludf.DUMFUNCTION("GOOGLETRANSLATE(A3567,""id"",""en"")"),"who says like to adjust the injcy of a boot account")</f>
        <v>who says like to adjust the injcy of a boot account</v>
      </c>
    </row>
    <row r="3486" spans="1:2" x14ac:dyDescent="0.2">
      <c r="A3486" s="1" t="s">
        <v>265</v>
      </c>
      <c r="B3486" s="1" t="str">
        <f ca="1">IFERROR(__xludf.DUMFUNCTION("GOOGLETRANSLATE(A3568,""id"",""en"")"),"Pa Didu is not playing cellphone gas station ko ambyar man")</f>
        <v>Pa Didu is not playing cellphone gas station ko ambyar man</v>
      </c>
    </row>
    <row r="3487" spans="1:2" x14ac:dyDescent="0.2">
      <c r="A3487" s="1" t="s">
        <v>1092</v>
      </c>
      <c r="B3487" s="1" t="str">
        <f ca="1">IFERROR(__xludf.DUMFUNCTION("GOOGLETRANSLATE(A3569,""id"",""en"")"),"pdhl, it's good to give your money from , then it is directed at the tank.")</f>
        <v>pdhl, it's good to give your money from , then it is directed at the tank.</v>
      </c>
    </row>
    <row r="3488" spans="1:2" x14ac:dyDescent="0.2">
      <c r="A3488" s="1" t="s">
        <v>1093</v>
      </c>
      <c r="B3488" s="1" t="str">
        <f ca="1">IFERROR(__xludf.DUMFUNCTION("GOOGLETRANSLATE(A3570,""id"",""en"")"),"The cellphone feature phone contains ")</f>
        <v xml:space="preserve">The cellphone feature phone contains </v>
      </c>
    </row>
    <row r="3489" spans="1:2" x14ac:dyDescent="0.2">
      <c r="A3489" s="1" t="s">
        <v>5028</v>
      </c>
      <c r="B3489" s="1" t="str">
        <f ca="1">IFERROR(__xludf.DUMFUNCTION("GOOGLETRANSLATE(A3571,""id"",""en"")"),"The Splashy  now the husband's meaning is really using a cashback with  Dex.")</f>
        <v>The Splashy  now the husband's meaning is really using a cashback with  Dex.</v>
      </c>
    </row>
    <row r="3490" spans="1:2" x14ac:dyDescent="0.2">
      <c r="A3490" s="1" t="s">
        <v>1094</v>
      </c>
      <c r="B3490" s="1" t="str">
        <f ca="1">IFERROR(__xludf.DUMFUNCTION("GOOGLETRANSLATE(A3572,""id"",""en"")"),"Duh crude oil spilled over the Cilacap beach area clearly  Cilacap Pier DPCHNSIHPUANNEWANSIRDIndonesia Indonesia HeadlineNews Kelurantambakreja Kilangminyak Nelayancilacap PantaiCilacap Rapids ")</f>
        <v xml:space="preserve">Duh crude oil spilled over the Cilacap beach area clearly  Cilacap Pier DPCHNSIHPUANNEWANSIRDIndonesia Indonesia HeadlineNews Kelurantambakreja Kilangminyak Nelayancilacap PantaiCilacap Rapids </v>
      </c>
    </row>
    <row r="3491" spans="1:2" x14ac:dyDescent="0.2">
      <c r="A3491" s="1" t="s">
        <v>1095</v>
      </c>
      <c r="B3491" s="1" t="str">
        <f ca="1">IFERROR(__xludf.DUMFUNCTION("GOOGLETRANSLATE(A3573,""id"",""en"")"),"Non  gas stations are easy to monitor the quality of consumers, but the employees are resting")</f>
        <v>Non  gas stations are easy to monitor the quality of consumers, but the employees are resting</v>
      </c>
    </row>
    <row r="3492" spans="1:2" x14ac:dyDescent="0.2">
      <c r="A3492" s="1" t="s">
        <v>5029</v>
      </c>
      <c r="B3492" s="1" t="str">
        <f ca="1">IFERROR(__xludf.DUMFUNCTION("GOOGLETRANSLATE(A3574,""id"",""en"")"),"Step  BBM Subsidy Sasar Let's List of  Website Link Data")</f>
        <v>Step  BBM Subsidy Sasar Let's List of  Website Link Data</v>
      </c>
    </row>
    <row r="3493" spans="1:2" x14ac:dyDescent="0.2">
      <c r="A3493" s="1" t="s">
        <v>5030</v>
      </c>
      <c r="B3493" s="1" t="str">
        <f ca="1">IFERROR(__xludf.DUMFUNCTION("GOOGLETRANSLATE(A3576,""id"",""en"")"),"cigarettes yes gas station area meter distance dispenser contents of   bumn")</f>
        <v>cigarettes yes gas station area meter distance dispenser contents of   bumn</v>
      </c>
    </row>
    <row r="3494" spans="1:2" x14ac:dyDescent="0.2">
      <c r="A3494" s="1" t="s">
        <v>1096</v>
      </c>
      <c r="B3494" s="1" t="str">
        <f ca="1">IFERROR(__xludf.DUMFUNCTION("GOOGLETRANSLATE(A3577,""id"",""en"")"),"bastard buying gasoline using an application that is pertalite solar is gay to play a cellphone if the filling of gasoline is very good")</f>
        <v>bastard buying gasoline using an application that is pertalite solar is gay to play a cellphone if the filling of gasoline is very good</v>
      </c>
    </row>
    <row r="3495" spans="1:2" x14ac:dyDescent="0.2">
      <c r="A3495" s="1" t="s">
        <v>5031</v>
      </c>
      <c r="B3495" s="1" t="str">
        <f ca="1">IFERROR(__xludf.DUMFUNCTION("GOOGLETRANSLATE(A3578,""id"",""en"")"),"prohibit mobile bbm filling gas stations pay using   application using mobile phones")</f>
        <v>prohibit mobile bbm filling gas stations pay using   application using mobile phones</v>
      </c>
    </row>
    <row r="3496" spans="1:2" x14ac:dyDescent="0.2">
      <c r="A3496" s="1" t="s">
        <v>5032</v>
      </c>
      <c r="B3496" s="1" t="str">
        <f ca="1">IFERROR(__xludf.DUMFUNCTION("GOOGLETRANSLATE(A3579,""id"",""en"")"),"hmmm gas station is banned from playing cellphones but when filling the gasoline, you should use   exciting too, think out of the box")</f>
        <v>hmmm gas station is banned from playing cellphones but when filling the gasoline, you should use   exciting too, think out of the box</v>
      </c>
    </row>
    <row r="3497" spans="1:2" x14ac:dyDescent="0.2">
      <c r="A3497" s="1" t="s">
        <v>5033</v>
      </c>
      <c r="B3497" s="1" t="str">
        <f ca="1">IFERROR(__xludf.DUMFUNCTION("GOOGLETRANSLATE(A3580,""id"",""en"")"),"PT  TERAUT III LAND POLICE LAND OF COMMUNITY YGA HAA CONTRACTS OF PT PELITA AIR SERVICE MARCH MARCH GENERAL")</f>
        <v>PT  TERAUT III LAND POLICE LAND OF COMMUNITY YGA HAA CONTRACTS OF PT PELITA AIR SERVICE MARCH MARCH GENERAL</v>
      </c>
    </row>
    <row r="3498" spans="1:2" x14ac:dyDescent="0.2">
      <c r="A3498" s="1" t="s">
        <v>266</v>
      </c>
      <c r="B3498" s="1" t="str">
        <f ca="1">IFERROR(__xludf.DUMFUNCTION("GOOGLETRANSLATE(A3581,""id"",""en"")"),"prohibit the style of the style gas station to make it cool")</f>
        <v>prohibit the style of the style gas station to make it cool</v>
      </c>
    </row>
    <row r="3499" spans="1:2" x14ac:dyDescent="0.2">
      <c r="A3499" s="1" t="s">
        <v>5034</v>
      </c>
      <c r="B3499" s="1" t="str">
        <f ca="1">IFERROR(__xludf.DUMFUNCTION("GOOGLETRANSLATE(A3582,""id"",""en"")"),"Use apps if you buy fuel worn out, you can't subsidize   fuel subsidized, buy Pertamax or petamax plus   wear use the price of oil, the price")</f>
        <v>Use apps if you buy fuel worn out, you can't subsidize   fuel subsidized, buy Pertamax or petamax plus   wear use the price of oil, the price</v>
      </c>
    </row>
    <row r="3500" spans="1:2" x14ac:dyDescent="0.2">
      <c r="A3500" s="1" t="s">
        <v>267</v>
      </c>
      <c r="B3500" s="1" t="str">
        <f ca="1">IFERROR(__xludf.DUMFUNCTION("GOOGLETRANSLATE(A3583,""id"",""en"")"),"Didu did not step back, where did you back down")</f>
        <v>Didu did not step back, where did you back down</v>
      </c>
    </row>
    <row r="3501" spans="1:2" x14ac:dyDescent="0.2">
      <c r="A3501" s="1" t="s">
        <v>1097</v>
      </c>
      <c r="B3501" s="1" t="str">
        <f ca="1">IFERROR(__xludf.DUMFUNCTION("GOOGLETRANSLATE(A3584,""id"",""en"")"),"for a moment  sells trials to buy Pertalite Solar Data List, let's stay")</f>
        <v>for a moment  sells trials to buy Pertalite Solar Data List, let's stay</v>
      </c>
    </row>
    <row r="3502" spans="1:2" x14ac:dyDescent="0.2">
      <c r="A3502" s="1" t="s">
        <v>1098</v>
      </c>
      <c r="B3502" s="1" t="str">
        <f ca="1">IFERROR(__xludf.DUMFUNCTION("GOOGLETRANSLATE(A3585,""id"",""en"")"),"'s cigarettes are tankki meter distance")</f>
        <v>'s cigarettes are tankki meter distance</v>
      </c>
    </row>
    <row r="3503" spans="1:2" x14ac:dyDescent="0.2">
      <c r="A3503" s="1" t="s">
        <v>1099</v>
      </c>
      <c r="B3503" s="1" t="str">
        <f ca="1">IFERROR(__xludf.DUMFUNCTION("GOOGLETRANSLATE(A3586,""id"",""en"")"),"Yes, ")</f>
        <v xml:space="preserve">Yes, </v>
      </c>
    </row>
    <row r="3504" spans="1:2" x14ac:dyDescent="0.2">
      <c r="A3504" s="1" t="s">
        <v>268</v>
      </c>
      <c r="B3504" s="1" t="str">
        <f ca="1">IFERROR(__xludf.DUMFUNCTION("GOOGLETRANSLATE(A3587,""id"",""en"")"),"I don't think about what people who don't have a good cellphone")</f>
        <v>I don't think about what people who don't have a good cellphone</v>
      </c>
    </row>
    <row r="3505" spans="1:2" x14ac:dyDescent="0.2">
      <c r="A3505" s="1" t="s">
        <v>1100</v>
      </c>
      <c r="B3505" s="1" t="str">
        <f ca="1">IFERROR(__xludf.DUMFUNCTION("GOOGLETRANSLATE(A3588,""id"",""en"")"),"This try the boss of 's boss playing Javanese on Sunday, the Indonesian Javanese centric is difficult")</f>
        <v>This try the boss of 's boss playing Javanese on Sunday, the Indonesian Javanese centric is difficult</v>
      </c>
    </row>
    <row r="3506" spans="1:2" x14ac:dyDescent="0.2">
      <c r="A3506" s="1" t="s">
        <v>269</v>
      </c>
      <c r="B3506" s="1" t="str">
        <f ca="1">IFERROR(__xludf.DUMFUNCTION("GOOGLETRANSLATE(A3589,""id"",""en"")"),"if the controls that private cars buy delicious subsidies wk wk wk")</f>
        <v>if the controls that private cars buy delicious subsidies wk wk wk</v>
      </c>
    </row>
    <row r="3507" spans="1:2" x14ac:dyDescent="0.2">
      <c r="A3507" s="1" t="s">
        <v>1101</v>
      </c>
      <c r="B3507" s="1" t="str">
        <f ca="1">IFERROR(__xludf.DUMFUNCTION("GOOGLETRANSLATE(A3590,""id"",""en"")"),"I hope the benefits of Android mobiles forbid  gas stations with fun")</f>
        <v>I hope the benefits of Android mobiles forbid  gas stations with fun</v>
      </c>
    </row>
    <row r="3508" spans="1:2" x14ac:dyDescent="0.2">
      <c r="A3508" s="1" t="s">
        <v>1102</v>
      </c>
      <c r="B3508" s="1" t="str">
        <f ca="1">IFERROR(__xludf.DUMFUNCTION("GOOGLETRANSLATE(A3591,""id"",""en"")"),"I hope the benefits of the Android phone forbid the  Silah gas station with a selfie not normal, the Jokowi Plus PDIP regime")</f>
        <v>I hope the benefits of the Android phone forbid the  Silah gas station with a selfie not normal, the Jokowi Plus PDIP regime</v>
      </c>
    </row>
    <row r="3509" spans="1:2" x14ac:dyDescent="0.2">
      <c r="A3509" s="1" t="s">
        <v>1103</v>
      </c>
      <c r="B3509" s="1" t="str">
        <f ca="1">IFERROR(__xludf.DUMFUNCTION("GOOGLETRANSLATE(A3592,""id"",""en"")"),"Buy Nominal BBM Hindar Hindar Cheating SPBU Complete Hoaks of Hoaks Jalakak Jakarta BBM BBM  SPBU")</f>
        <v>Buy Nominal BBM Hindar Hindar Cheating SPBU Complete Hoaks of Hoaks Jalakak Jakarta BBM BBM  SPBU</v>
      </c>
    </row>
    <row r="3510" spans="1:2" x14ac:dyDescent="0.2">
      <c r="A3510" s="1" t="s">
        <v>1104</v>
      </c>
      <c r="B3510" s="1" t="str">
        <f ca="1">IFERROR(__xludf.DUMFUNCTION("GOOGLETRANSLATE(A3593,""id"",""en"")"),"Reject hard to buy BBM using what application is difficult to be difficult to get positive values ​​of the  community like work")</f>
        <v>Reject hard to buy BBM using what application is difficult to be difficult to get positive values ​​of the  community like work</v>
      </c>
    </row>
    <row r="3511" spans="1:2" x14ac:dyDescent="0.2">
      <c r="A3511" s="1" t="s">
        <v>270</v>
      </c>
      <c r="B3511" s="1" t="str">
        <f ca="1">IFERROR(__xludf.DUMFUNCTION("GOOGLETRANSLATE(A3594,""id"",""en"")"),"Salah Luhut Gathering Big Data Million Plus Leading Long")</f>
        <v>Salah Luhut Gathering Big Data Million Plus Leading Long</v>
      </c>
    </row>
    <row r="3512" spans="1:2" x14ac:dyDescent="0.2">
      <c r="A3512" s="1" t="s">
        <v>1105</v>
      </c>
      <c r="B3512" s="1" t="str">
        <f ca="1">IFERROR(__xludf.DUMFUNCTION("GOOGLETRANSLATE(A3595,""id"",""en"")"),"No Pdt Pn Vibadak Page Receipt of the Land of Land Owned Land Free Land II Conted the Regional Government of Sukanumi Regency Bangun Bangun Air PT Pelita Air Service PT ")</f>
        <v xml:space="preserve">No Pdt Pn Vibadak Page Receipt of the Land of Land Owned Land Free Land II Conted the Regional Government of Sukanumi Regency Bangun Bangun Air PT Pelita Air Service PT </v>
      </c>
    </row>
    <row r="3513" spans="1:2" x14ac:dyDescent="0.2">
      <c r="A3513" s="1" t="s">
        <v>1106</v>
      </c>
      <c r="B3513" s="1" t="str">
        <f ca="1">IFERROR(__xludf.DUMFUNCTION("GOOGLETRANSLATE(A3596,""id"",""en"")")," Dilemma Set Dr. Pempus")</f>
        <v xml:space="preserve"> Dilemma Set Dr. Pempus</v>
      </c>
    </row>
    <row r="3514" spans="1:2" x14ac:dyDescent="0.2">
      <c r="A3514" s="1" t="s">
        <v>1107</v>
      </c>
      <c r="B3514" s="1" t="str">
        <f ca="1">IFERROR(__xludf.DUMFUNCTION("GOOGLETRANSLATE(A3597,""id"",""en"")")," sells trials to buy solar pertalite public list, let's list the vehicle list")</f>
        <v xml:space="preserve"> sells trials to buy solar pertalite public list, let's list the vehicle list</v>
      </c>
    </row>
    <row r="3515" spans="1:2" x14ac:dyDescent="0.2">
      <c r="A3515" s="1" t="s">
        <v>5035</v>
      </c>
      <c r="B3515" s="1" t="str">
        <f ca="1">IFERROR(__xludf.DUMFUNCTION("GOOGLETRANSLATE(A3598,""id"",""en"")"),"FYI GAES SPBU  ")</f>
        <v xml:space="preserve">FYI GAES SPBU  </v>
      </c>
    </row>
    <row r="3516" spans="1:2" x14ac:dyDescent="0.2">
      <c r="A3516" s="1" t="s">
        <v>1108</v>
      </c>
      <c r="B3516" s="1" t="str">
        <f ca="1">IFERROR(__xludf.DUMFUNCTION("GOOGLETRANSLATE(A3599,""id"",""en"")"),"Luckily I didn't work ")</f>
        <v xml:space="preserve">Luckily I didn't work </v>
      </c>
    </row>
    <row r="3517" spans="1:2" x14ac:dyDescent="0.2">
      <c r="A3517" s="1" t="s">
        <v>1109</v>
      </c>
      <c r="B3517" s="1" t="str">
        <f ca="1">IFERROR(__xludf.DUMFUNCTION("GOOGLETRANSLATE(A3600,""id"",""en"")"),"Morning Ukraine please order  Tegal Regency Special Pantura SPBU Circle of Solar Province added to spy for karya salaries")</f>
        <v>Morning Ukraine please order  Tegal Regency Special Pantura SPBU Circle of Solar Province added to spy for karya salaries</v>
      </c>
    </row>
    <row r="3518" spans="1:2" x14ac:dyDescent="0.2">
      <c r="A3518" s="1" t="s">
        <v>271</v>
      </c>
      <c r="B3518" s="1" t="str">
        <f ca="1">IFERROR(__xludf.DUMFUNCTION("GOOGLETRANSLATE(A3601,""id"",""en"")"),"oh sorry the solution is not a smartphone list the QR Code Website Special, hopefully it's not wrong")</f>
        <v>oh sorry the solution is not a smartphone list the QR Code Website Special, hopefully it's not wrong</v>
      </c>
    </row>
    <row r="3519" spans="1:2" x14ac:dyDescent="0.2">
      <c r="A3519" s="1" t="s">
        <v>272</v>
      </c>
      <c r="B3519" s="1" t="str">
        <f ca="1">IFERROR(__xludf.DUMFUNCTION("GOOGLETRANSLATE(A3602,""id"",""en"")"),"Nature package Loading Pay people have queued the gas station that rejects the base of the device is damaged by the Ambyaiarrr Pump Application")</f>
        <v>Nature package Loading Pay people have queued the gas station that rejects the base of the device is damaged by the Ambyaiarrr Pump Application</v>
      </c>
    </row>
    <row r="3520" spans="1:2" x14ac:dyDescent="0.2">
      <c r="A3520" s="1" t="s">
        <v>5036</v>
      </c>
      <c r="B3520" s="1" t="str">
        <f ca="1">IFERROR(__xludf.DUMFUNCTION("GOOGLETRANSLATE(A3603,""id"",""en"")")," fortunately buying a download  billions")</f>
        <v xml:space="preserve"> fortunately buying a download  billions</v>
      </c>
    </row>
    <row r="3521" spans="1:2" x14ac:dyDescent="0.2">
      <c r="A3521" s="1" t="s">
        <v>1110</v>
      </c>
      <c r="B3521" s="1" t="str">
        <f ca="1">IFERROR(__xludf.DUMFUNCTION("GOOGLETRANSLATE(A3604,""id"",""en"")"),"I will read the flyer if you buy using the  application")</f>
        <v>I will read the flyer if you buy using the  application</v>
      </c>
    </row>
    <row r="3522" spans="1:2" x14ac:dyDescent="0.2">
      <c r="A3522" s="1" t="s">
        <v>1111</v>
      </c>
      <c r="B3522" s="1" t="str">
        <f ca="1">IFERROR(__xludf.DUMFUNCTION("GOOGLETRANSLATE(A3605,""id"",""en"")"),"For Pertalite Solar List  BBM Subsidies Complete Sasar Fascinating Economic Economic Money Indonesia")</f>
        <v>For Pertalite Solar List  BBM Subsidies Complete Sasar Fascinating Economic Economic Money Indonesia</v>
      </c>
    </row>
    <row r="3523" spans="1:2" x14ac:dyDescent="0.2">
      <c r="A3523" s="1" t="s">
        <v>5037</v>
      </c>
      <c r="B3523" s="1" t="str">
        <f ca="1">IFERROR(__xludf.DUMFUNCTION("GOOGLETRANSLATE(A3606,""id"",""en"")"),"Gpp, if you tell me to use  , but the salaries of the residents are riding all the quota of indo residents who are still worn out, too, the cellphone is crowded in the family")</f>
        <v>Gpp, if you tell me to use  , but the salaries of the residents are riding all the quota of indo residents who are still worn out, too, the cellphone is crowded in the family</v>
      </c>
    </row>
    <row r="3524" spans="1:2" x14ac:dyDescent="0.2">
      <c r="A3524" s="1" t="s">
        <v>1112</v>
      </c>
      <c r="B3524" s="1" t="str">
        <f ca="1">IFERROR(__xludf.DUMFUNCTION("GOOGLETRANSLATE(A3607,""id"",""en"")"),"not using a gas station cellphone that has been paid for gasoline using the application via 's cellphone, a safe gas station is safe for the contents of the safe gasoline")</f>
        <v>not using a gas station cellphone that has been paid for gasoline using the application via 's cellphone, a safe gas station is safe for the contents of the safe gasoline</v>
      </c>
    </row>
    <row r="3525" spans="1:2" x14ac:dyDescent="0.2">
      <c r="A3525" s="1" t="s">
        <v>273</v>
      </c>
      <c r="B3525" s="1" t="str">
        <f ca="1">IFERROR(__xludf.DUMFUNCTION("GOOGLETRANSLATE(A3608,""id"",""en"")"),"Matakna Mak")</f>
        <v>Matakna Mak</v>
      </c>
    </row>
    <row r="3526" spans="1:2" x14ac:dyDescent="0.2">
      <c r="A3526" s="1" t="s">
        <v>5038</v>
      </c>
      <c r="B3526" s="1" t="str">
        <f ca="1">IFERROR(__xludf.DUMFUNCTION("GOOGLETRANSLATE(A3609,""id"",""en"")"),"I reallyeeeeeeeeeeeeets   prohibit the cellphone gas station now says it is safe the country to sell applications does not dare to increase fuel hrga")</f>
        <v>I reallyeeeeeeeeeeeeets   prohibit the cellphone gas station now says it is safe the country to sell applications does not dare to increase fuel hrga</v>
      </c>
    </row>
    <row r="3527" spans="1:2" x14ac:dyDescent="0.2">
      <c r="A3527" s="1" t="s">
        <v>1113</v>
      </c>
      <c r="B3527" s="1" t="str">
        <f ca="1">IFERROR(__xludf.DUMFUNCTION("GOOGLETRANSLATE(A3610,""id"",""en"")"),"General of the Minister of Atr Checks the location of the land owned by Palabuhanratu Sukabumi Regency, which has a climatic employee of PT  Pusat with a free receipt of land on the date of the Decision of Cibadak No.")</f>
        <v>General of the Minister of Atr Checks the location of the land owned by Palabuhanratu Sukabumi Regency, which has a climatic employee of PT  Pusat with a free receipt of land on the date of the Decision of Cibadak No.</v>
      </c>
    </row>
    <row r="3528" spans="1:2" x14ac:dyDescent="0.2">
      <c r="A3528" s="1" t="s">
        <v>1114</v>
      </c>
      <c r="B3528" s="1" t="str">
        <f ca="1">IFERROR(__xludf.DUMFUNCTION("GOOGLETRANSLATE(A3611,""id"",""en"")")," NUNGGIC NUNDUNGING")</f>
        <v xml:space="preserve"> NUNGGIC NUNDUNGING</v>
      </c>
    </row>
    <row r="3529" spans="1:2" x14ac:dyDescent="0.2">
      <c r="A3529" s="1" t="s">
        <v>1115</v>
      </c>
      <c r="B3529" s="1" t="str">
        <f ca="1">IFERROR(__xludf.DUMFUNCTION("GOOGLETRANSLATE(A3612,""id"",""en"")")," Have Personality Issues")</f>
        <v xml:space="preserve"> Have Personality Issues</v>
      </c>
    </row>
    <row r="3530" spans="1:2" x14ac:dyDescent="0.2">
      <c r="A3530" s="1" t="s">
        <v>274</v>
      </c>
      <c r="B3530" s="1" t="str">
        <f ca="1">IFERROR(__xludf.DUMFUNCTION("GOOGLETRANSLATE(A3613,""id"",""en"")"),"lead tai yaa tai I said tai yaaa if it's dirty the name yaa tai")</f>
        <v>lead tai yaa tai I said tai yaaa if it's dirty the name yaa tai</v>
      </c>
    </row>
    <row r="3531" spans="1:2" x14ac:dyDescent="0.2">
      <c r="A3531" s="1" t="s">
        <v>275</v>
      </c>
      <c r="B3531" s="1" t="str">
        <f ca="1">IFERROR(__xludf.DUMFUNCTION("GOOGLETRANSLATE(A3614,""id"",""en"")"),"Didu has retreated various backward positions where pigeons are not")</f>
        <v>Didu has retreated various backward positions where pigeons are not</v>
      </c>
    </row>
    <row r="3532" spans="1:2" x14ac:dyDescent="0.2">
      <c r="A3532" s="1" t="s">
        <v>276</v>
      </c>
      <c r="B3532" s="1" t="str">
        <f ca="1">IFERROR(__xludf.DUMFUNCTION("GOOGLETRANSLATE(A3615,""id"",""en"")"),"wise wise wise danger survivors gas station")</f>
        <v>wise wise wise danger survivors gas station</v>
      </c>
    </row>
    <row r="3533" spans="1:2" x14ac:dyDescent="0.2">
      <c r="A3533" s="1" t="s">
        <v>5039</v>
      </c>
      <c r="B3533" s="1" t="str">
        <f ca="1">IFERROR(__xludf.DUMFUNCTION("GOOGLETRANSLATE(A3616,""id"",""en"")"),"Alas  Choose a Mandatory Region to Register  Buy Pertalite Solar")</f>
        <v>Alas  Choose a Mandatory Region to Register  Buy Pertalite Solar</v>
      </c>
    </row>
    <row r="3534" spans="1:2" x14ac:dyDescent="0.2">
      <c r="A3534" s="1" t="s">
        <v>277</v>
      </c>
      <c r="B3534" s="1" t="str">
        <f ca="1">IFERROR(__xludf.DUMFUNCTION("GOOGLETRANSLATE(A3617,""id"",""en"")"),"anyway the chaotic criticians of the SPBU Block Sam gas station")</f>
        <v>anyway the chaotic criticians of the SPBU Block Sam gas station</v>
      </c>
    </row>
    <row r="3535" spans="1:2" x14ac:dyDescent="0.2">
      <c r="A3535" s="1" t="s">
        <v>278</v>
      </c>
      <c r="B3535" s="1" t="str">
        <f ca="1">IFERROR(__xludf.DUMFUNCTION("GOOGLETRANSLATE(A3618,""id"",""en"")"),"Playing the cellphone, gpp, the cellphone is slammed by the puter that is prohibited from being active, not playing cellphone")</f>
        <v>Playing the cellphone, gpp, the cellphone is slammed by the puter that is prohibited from being active, not playing cellphone</v>
      </c>
    </row>
    <row r="3536" spans="1:2" x14ac:dyDescent="0.2">
      <c r="A3536" s="1" t="s">
        <v>279</v>
      </c>
      <c r="B3536" s="1" t="str">
        <f ca="1">IFERROR(__xludf.DUMFUNCTION("GOOGLETRANSLATE(A3619,""id"",""en"")"),"wise wise danger survivors gas station")</f>
        <v>wise wise danger survivors gas station</v>
      </c>
    </row>
    <row r="3537" spans="1:2" x14ac:dyDescent="0.2">
      <c r="A3537" s="1" t="s">
        <v>1116</v>
      </c>
      <c r="B3537" s="1" t="str">
        <f ca="1">IFERROR(__xludf.DUMFUNCTION("GOOGLETRANSLATE(A3620,""id"",""en"")"),"Bachelor recruitment can be  already remember destroyed, for example, fill in using app brefing apps etc.")</f>
        <v>Bachelor recruitment can be  already remember destroyed, for example, fill in using app brefing apps etc.</v>
      </c>
    </row>
    <row r="3538" spans="1:2" x14ac:dyDescent="0.2">
      <c r="A3538" s="1" t="s">
        <v>5040</v>
      </c>
      <c r="B3538" s="1" t="str">
        <f ca="1">IFERROR(__xludf.DUMFUNCTION("GOOGLETRANSLATE(A3621,""id"",""en"")"),"Fact for  to buy fuel from , the public receipt of subsidized fuel")</f>
        <v>Fact for  to buy fuel from , the public receipt of subsidized fuel</v>
      </c>
    </row>
    <row r="3539" spans="1:2" x14ac:dyDescent="0.2">
      <c r="A3539" s="1" t="s">
        <v>280</v>
      </c>
      <c r="B3539" s="1" t="str">
        <f ca="1">IFERROR(__xludf.DUMFUNCTION("GOOGLETRANSLATE(A3622,""id"",""en"")"),"if you buy cooking oil using the protection care, buy pertalite, don't use it so that there aren't many applications, the cellphone is full of memory")</f>
        <v>if you buy cooking oil using the protection care, buy pertalite, don't use it so that there aren't many applications, the cellphone is full of memory</v>
      </c>
    </row>
    <row r="3540" spans="1:2" x14ac:dyDescent="0.2">
      <c r="A3540" s="1" t="s">
        <v>281</v>
      </c>
      <c r="B3540" s="1" t="str">
        <f ca="1">IFERROR(__xludf.DUMFUNCTION("GOOGLETRANSLATE(A3623,""id"",""en"")"),"Lieur ah")</f>
        <v>Lieur ah</v>
      </c>
    </row>
    <row r="3541" spans="1:2" x14ac:dyDescent="0.2">
      <c r="A3541" s="1" t="s">
        <v>5041</v>
      </c>
      <c r="B3541" s="1" t="str">
        <f ca="1">IFERROR(__xludf.DUMFUNCTION("GOOGLETRANSLATE(A3624,""id"",""en"")"),"The people don't download the   application, the owner of the application to get a quota's money owned by Indosat Telkomsel's cellular net operator, etc. Stupid Operators, Stupid People Collection")</f>
        <v>The people don't download the   application, the owner of the application to get a quota's money owned by Indosat Telkomsel's cellular net operator, etc. Stupid Operators, Stupid People Collection</v>
      </c>
    </row>
    <row r="3542" spans="1:2" x14ac:dyDescent="0.2">
      <c r="A3542" s="1" t="s">
        <v>1117</v>
      </c>
      <c r="B3542" s="1" t="str">
        <f ca="1">IFERROR(__xludf.DUMFUNCTION("GOOGLETRANSLATE(A3625,""id"",""en"")")," Application Care Protection Application")</f>
        <v xml:space="preserve"> Application Care Protection Application</v>
      </c>
    </row>
    <row r="3543" spans="1:2" x14ac:dyDescent="0.2">
      <c r="A3543" s="1" t="s">
        <v>1118</v>
      </c>
      <c r="B3543" s="1" t="str">
        <f ca="1">IFERROR(__xludf.DUMFUNCTION("GOOGLETRANSLATE(A3626,""id"",""en"")")," will definitely buy Pertalite Solar Subsidies using the Laku application")</f>
        <v xml:space="preserve"> will definitely buy Pertalite Solar Subsidies using the Laku application</v>
      </c>
    </row>
    <row r="3544" spans="1:2" x14ac:dyDescent="0.2">
      <c r="A3544" s="1" t="s">
        <v>282</v>
      </c>
      <c r="B3544" s="1" t="str">
        <f ca="1">IFERROR(__xludf.DUMFUNCTION("GOOGLETRANSLATE(A3627,""id"",""en"")"),"We are Bening Watched")</f>
        <v>We are Bening Watched</v>
      </c>
    </row>
    <row r="3545" spans="1:2" x14ac:dyDescent="0.2">
      <c r="A3545" s="1" t="s">
        <v>283</v>
      </c>
      <c r="B3545" s="1" t="str">
        <f ca="1">IFERROR(__xludf.DUMFUNCTION("GOOGLETRANSLATE(A3628,""id"",""en"")"),"prohibit hard to live the smartphone of the gas station where you are looking for the Kendar tax option")</f>
        <v>prohibit hard to live the smartphone of the gas station where you are looking for the Kendar tax option</v>
      </c>
    </row>
    <row r="3546" spans="1:2" x14ac:dyDescent="0.2">
      <c r="A3546" s="1" t="s">
        <v>1119</v>
      </c>
      <c r="B3546" s="1" t="str">
        <f ca="1">IFERROR(__xludf.DUMFUNCTION("GOOGLETRANSLATE(A3629,""id"",""en"")"),"spilled crude oil spread water cilacap area suspected  tanker")</f>
        <v>spilled crude oil spread water cilacap area suspected  tanker</v>
      </c>
    </row>
    <row r="3547" spans="1:2" x14ac:dyDescent="0.2">
      <c r="A3547" s="1" t="s">
        <v>1120</v>
      </c>
      <c r="B3547" s="1" t="str">
        <f ca="1">IFERROR(__xludf.DUMFUNCTION("GOOGLETRANSLATE(A3630,""id"",""en"")"),"Why Buy  List of Anjer or Gatau Playing Gadgets After Gadgets After Gasoline Street the Hp LIST DLU")</f>
        <v>Why Buy  List of Anjer or Gatau Playing Gadgets After Gadgets After Gasoline Street the Hp LIST DLU</v>
      </c>
    </row>
    <row r="3548" spans="1:2" x14ac:dyDescent="0.2">
      <c r="A3548" s="1" t="s">
        <v>5042</v>
      </c>
      <c r="B3548" s="1" t="str">
        <f ca="1">IFERROR(__xludf.DUMFUNCTION("GOOGLETRANSLATE(A3631,""id"",""en"")"),"Buy Pertalite must use the   application, a citizen of Nyantae, just panicked bang Anies, an easy solution for DKI Jakarta, one of the DKI Provincial Government, is outstanding for a free wifi net.")</f>
        <v>Buy Pertalite must use the   application, a citizen of Nyantae, just panicked bang Anies, an easy solution for DKI Jakarta, one of the DKI Provincial Government, is outstanding for a free wifi net.</v>
      </c>
    </row>
    <row r="3549" spans="1:2" x14ac:dyDescent="0.2">
      <c r="A3549" s="1" t="s">
        <v>1121</v>
      </c>
      <c r="B3549" s="1" t="str">
        <f ca="1">IFERROR(__xludf.DUMFUNCTION("GOOGLETRANSLATE(A3632,""id"",""en"")"),"the story of the husband's advice to get a husband's husband, a lot of  kepo projects")</f>
        <v>the story of the husband's advice to get a husband's husband, a lot of  kepo projects</v>
      </c>
    </row>
    <row r="3550" spans="1:2" x14ac:dyDescent="0.2">
      <c r="A3550" s="1" t="s">
        <v>5043</v>
      </c>
      <c r="B3550" s="1" t="str">
        <f ca="1">IFERROR(__xludf.DUMFUNCTION("GOOGLETRANSLATE(A3633,""id"",""en"")"),"  Brightgas Pertamax rjbt")</f>
        <v xml:space="preserve">  Brightgas Pertamax rjbt</v>
      </c>
    </row>
    <row r="3551" spans="1:2" x14ac:dyDescent="0.2">
      <c r="A3551" s="1" t="s">
        <v>284</v>
      </c>
      <c r="B3551" s="1" t="str">
        <f ca="1">IFERROR(__xludf.DUMFUNCTION("GOOGLETRANSLATE(A3634,""id"",""en"")"),"Drinking BBM Subsidies must use reasonable applications that are subsidized by the Sultan")</f>
        <v>Drinking BBM Subsidies must use reasonable applications that are subsidized by the Sultan</v>
      </c>
    </row>
    <row r="3552" spans="1:2" x14ac:dyDescent="0.2">
      <c r="A3552" s="1" t="s">
        <v>1122</v>
      </c>
      <c r="B3552" s="1" t="str">
        <f ca="1">IFERROR(__xludf.DUMFUNCTION("GOOGLETRANSLATE(A3635,""id"",""en"")")," Class")</f>
        <v xml:space="preserve"> Class</v>
      </c>
    </row>
    <row r="3553" spans="1:2" x14ac:dyDescent="0.2">
      <c r="A3553" s="1" t="s">
        <v>1123</v>
      </c>
      <c r="B3553" s="1" t="str">
        <f ca="1">IFERROR(__xludf.DUMFUNCTION("GOOGLETRANSLATE(A3636,""id"",""en"")"),"Fill in the solar pertalite using the application so that the subsidy is the direction of  loss")</f>
        <v>Fill in the solar pertalite using the application so that the subsidy is the direction of  loss</v>
      </c>
    </row>
    <row r="3554" spans="1:2" x14ac:dyDescent="0.2">
      <c r="A3554" s="1" t="s">
        <v>1124</v>
      </c>
      <c r="B3554" s="1" t="str">
        <f ca="1">IFERROR(__xludf.DUMFUNCTION("GOOGLETRANSLATE(A3637,""id"",""en"")"),"That's all  transactions that use mobile applications like the sector that makes this")</f>
        <v>That's all  transactions that use mobile applications like the sector that makes this</v>
      </c>
    </row>
    <row r="3555" spans="1:2" x14ac:dyDescent="0.2">
      <c r="A3555" s="1" t="s">
        <v>1125</v>
      </c>
      <c r="B3555" s="1" t="str">
        <f ca="1">IFERROR(__xludf.DUMFUNCTION("GOOGLETRANSLATE(A3638,""id"",""en"")"),"Alas  Adjust to buy subsidized fuel")</f>
        <v>Alas  Adjust to buy subsidized fuel</v>
      </c>
    </row>
    <row r="3556" spans="1:2" x14ac:dyDescent="0.2">
      <c r="A3556" s="1" t="s">
        <v>1126</v>
      </c>
      <c r="B3556" s="1" t="str">
        <f ca="1">IFERROR(__xludf.DUMFUNCTION("GOOGLETRANSLATE(A3639,""id"",""en"")"),"GEPANASIK is present, friend, let's meet  products")</f>
        <v>GEPANASIK is present, friend, let's meet  products</v>
      </c>
    </row>
    <row r="3557" spans="1:2" x14ac:dyDescent="0.2">
      <c r="A3557" s="1" t="s">
        <v>5044</v>
      </c>
      <c r="B3557" s="1" t="str">
        <f ca="1">IFERROR(__xludf.DUMFUNCTION("GOOGLETRANSLATE(A3641,""id"",""en"")"),"instead of buying gasoline in the digital era of  ")</f>
        <v xml:space="preserve">instead of buying gasoline in the digital era of  </v>
      </c>
    </row>
    <row r="3558" spans="1:2" x14ac:dyDescent="0.2">
      <c r="A3558" s="1" t="s">
        <v>1127</v>
      </c>
      <c r="B3558" s="1" t="str">
        <f ca="1">IFERROR(__xludf.DUMFUNCTION("GOOGLETRANSLATE(A3643,""id"",""en"")"),"Kerjo  Ma'am")</f>
        <v>Kerjo  Ma'am</v>
      </c>
    </row>
    <row r="3559" spans="1:2" x14ac:dyDescent="0.2">
      <c r="A3559" s="1" t="s">
        <v>1128</v>
      </c>
      <c r="B3559" s="1" t="str">
        <f ca="1">IFERROR(__xludf.DUMFUNCTION("GOOGLETRANSLATE(A3644,""id"",""en"")")," Terpor Esg Operation Oil Refinery Solution to Build")</f>
        <v xml:space="preserve"> Terpor Esg Operation Oil Refinery Solution to Build</v>
      </c>
    </row>
    <row r="3560" spans="1:2" x14ac:dyDescent="0.2">
      <c r="A3560" s="1" t="s">
        <v>5045</v>
      </c>
      <c r="B3560" s="1" t="str">
        <f ca="1">IFERROR(__xludf.DUMFUNCTION("GOOGLETRANSLATE(A3645,""id"",""en"")"),"  Pertamax Bright Gas Yuk joined the    GEPANASIK Giveaway")</f>
        <v xml:space="preserve">  Pertamax Bright Gas Yuk joined the    GEPANASIK Giveaway</v>
      </c>
    </row>
    <row r="3561" spans="1:2" x14ac:dyDescent="0.2">
      <c r="A3561" s="1" t="s">
        <v>5046</v>
      </c>
      <c r="B3561" s="1" t="str">
        <f ca="1">IFERROR(__xludf.DUMFUNCTION("GOOGLETRANSLATE(A3646,""id"",""en"")")," friend in the morning testi buy gasoline using   tutor is easy to see easy")</f>
        <v xml:space="preserve"> friend in the morning testi buy gasoline using   tutor is easy to see easy</v>
      </c>
    </row>
    <row r="3562" spans="1:2" x14ac:dyDescent="0.2">
      <c r="A3562" s="1" t="s">
        <v>5047</v>
      </c>
      <c r="B3562" s="1" t="str">
        <f ca="1">IFERROR(__xludf.DUMFUNCTION("GOOGLETRANSLATE(A3647,""id"",""en"")"),"Dear   Brightl Gas Pertamax Let Join Bestie rjbt")</f>
        <v>Dear   Brightl Gas Pertamax Let Join Bestie rjbt</v>
      </c>
    </row>
    <row r="3563" spans="1:2" x14ac:dyDescent="0.2">
      <c r="A3563" s="1" t="s">
        <v>1129</v>
      </c>
      <c r="B3563" s="1" t="str">
        <f ca="1">IFERROR(__xludf.DUMFUNCTION("GOOGLETRANSLATE(A3648,""id"",""en"")"),"I suspect that Ant  by belonging to the good cooperation application is a subsidiary for the application for the application to buy BBM, the angkot transportation will go back and forth, the contents")</f>
        <v>I suspect that Ant  by belonging to the good cooperation application is a subsidiary for the application for the application to buy BBM, the angkot transportation will go back and forth, the contents</v>
      </c>
    </row>
    <row r="3564" spans="1:2" x14ac:dyDescent="0.2">
      <c r="A3564" s="1" t="s">
        <v>1130</v>
      </c>
      <c r="B3564" s="1" t="str">
        <f ca="1">IFERROR(__xludf.DUMFUNCTION("GOOGLETRANSLATE(A3650,""id"",""en"")"),"Catch Opinion Solutions Mas Wisdom Simalakama")</f>
        <v>Catch Opinion Solutions Mas Wisdom Simalakama</v>
      </c>
    </row>
    <row r="3565" spans="1:2" x14ac:dyDescent="0.2">
      <c r="A3565" s="1" t="s">
        <v>5048</v>
      </c>
      <c r="B3565" s="1" t="str">
        <f ca="1">IFERROR(__xludf.DUMFUNCTION("GOOGLETRANSLATE(A3651,""id"",""en"")"),"List of   Sekk")</f>
        <v>List of   Sekk</v>
      </c>
    </row>
    <row r="3566" spans="1:2" x14ac:dyDescent="0.2">
      <c r="A3566" s="1" t="s">
        <v>5049</v>
      </c>
      <c r="B3566" s="1" t="str">
        <f ca="1">IFERROR(__xludf.DUMFUNCTION("GOOGLETRANSLATE(A3652,""id"",""en"")"),"apps   if remote areas are safe")</f>
        <v>apps   if remote areas are safe</v>
      </c>
    </row>
    <row r="3567" spans="1:2" x14ac:dyDescent="0.2">
      <c r="A3567" s="1" t="s">
        <v>5050</v>
      </c>
      <c r="B3567" s="1" t="str">
        <f ca="1">IFERROR(__xludf.DUMFUNCTION("GOOGLETRANSLATE(A3653,""id"",""en"")"),"yes, the people are rampant people who are told to use  who use solar and pertalite bain but it is good at ")</f>
        <v xml:space="preserve">yes, the people are rampant people who are told to use  who use solar and pertalite bain but it is good at </v>
      </c>
    </row>
    <row r="3568" spans="1:2" x14ac:dyDescent="0.2">
      <c r="A3568" s="1" t="s">
        <v>1131</v>
      </c>
      <c r="B3568" s="1" t="str">
        <f ca="1">IFERROR(__xludf.DUMFUNCTION("GOOGLETRANSLATE(A3654,""id"",""en"")")," Patra Niaga Testing Pertalite Solar Trial for List")</f>
        <v xml:space="preserve"> Patra Niaga Testing Pertalite Solar Trial for List</v>
      </c>
    </row>
    <row r="3569" spans="1:2" x14ac:dyDescent="0.2">
      <c r="A3569" s="1" t="s">
        <v>285</v>
      </c>
      <c r="B3569" s="1" t="str">
        <f ca="1">IFERROR(__xludf.DUMFUNCTION("GOOGLETRANSLATE(A3655,""id"",""en"")"),"Biosolar Rp. Pertalite Rp.")</f>
        <v>Biosolar Rp. Pertalite Rp.</v>
      </c>
    </row>
    <row r="3570" spans="1:2" x14ac:dyDescent="0.2">
      <c r="A3570" s="1" t="s">
        <v>1132</v>
      </c>
      <c r="B3570" s="1" t="str">
        <f ca="1">IFERROR(__xludf.DUMFUNCTION("GOOGLETRANSLATE(A3656,""id"",""en"")"),"BPJS Nduwe App Dewe Pedulilat Protect Pis  Pis Sim Yo Nduwe Dewe Photo of Delete Application")</f>
        <v>BPJS Nduwe App Dewe Pedulilat Protect Pis  Pis Sim Yo Nduwe Dewe Photo of Delete Application</v>
      </c>
    </row>
    <row r="3571" spans="1:2" x14ac:dyDescent="0.2">
      <c r="A3571" s="1" t="s">
        <v>1133</v>
      </c>
      <c r="B3571" s="1" t="str">
        <f ca="1">IFERROR(__xludf.DUMFUNCTION("GOOGLETRANSLATE(A3657,""id"",""en"")"),"Play the cellphone area of ​​")</f>
        <v>Play the cellphone area of ​​</v>
      </c>
    </row>
    <row r="3572" spans="1:2" x14ac:dyDescent="0.2">
      <c r="A3572" s="1" t="s">
        <v>1134</v>
      </c>
      <c r="B3572" s="1" t="str">
        <f ca="1">IFERROR(__xludf.DUMFUNCTION("GOOGLETRANSLATE(A3658,""id"",""en"")")," Police Goals Go to Pertalite Sasar Install CCTV SPBU Special Kendara Use a Good Car Filling Pertalite BOOMING CAMERA BOOMING")</f>
        <v xml:space="preserve"> Police Goals Go to Pertalite Sasar Install CCTV SPBU Special Kendara Use a Good Car Filling Pertalite BOOMING CAMERA BOOMING</v>
      </c>
    </row>
    <row r="3573" spans="1:2" x14ac:dyDescent="0.2">
      <c r="A3573" s="1" t="s">
        <v>1135</v>
      </c>
      <c r="B3573" s="1" t="str">
        <f ca="1">IFERROR(__xludf.DUMFUNCTION("GOOGLETRANSLATE(A3659,""id"",""en"")"),"see the quality of gasoline quality Easy Pay Gasoline  Bosok Std Gasoline World Min Euro VI Prof.")</f>
        <v>see the quality of gasoline quality Easy Pay Gasoline  Bosok Std Gasoline World Min Euro VI Prof.</v>
      </c>
    </row>
    <row r="3574" spans="1:2" x14ac:dyDescent="0.2">
      <c r="A3574" s="1" t="s">
        <v>1136</v>
      </c>
      <c r="B3574" s="1" t="str">
        <f ca="1">IFERROR(__xludf.DUMFUNCTION("GOOGLETRANSLATE(A3660,""id"",""en"")")," loss boss not hearing the proposal of oil experts")</f>
        <v xml:space="preserve"> loss boss not hearing the proposal of oil experts</v>
      </c>
    </row>
    <row r="3575" spans="1:2" x14ac:dyDescent="0.2">
      <c r="A3575" s="1" t="s">
        <v>286</v>
      </c>
      <c r="B3575" s="1" t="str">
        <f ca="1">IFERROR(__xludf.DUMFUNCTION("GOOGLETRANSLATE(A3661,""id"",""en"")"),"Skeptic Penototin Prime Minister Most Kicep")</f>
        <v>Skeptic Penototin Prime Minister Most Kicep</v>
      </c>
    </row>
    <row r="3576" spans="1:2" x14ac:dyDescent="0.2">
      <c r="A3576" s="1" t="s">
        <v>287</v>
      </c>
      <c r="B3576" s="1" t="str">
        <f ca="1">IFERROR(__xludf.DUMFUNCTION("GOOGLETRANSLATE(A3662,""id"",""en"")"),"when I can get difficult to be easy")</f>
        <v>when I can get difficult to be easy</v>
      </c>
    </row>
    <row r="3577" spans="1:2" x14ac:dyDescent="0.2">
      <c r="A3577" s="1" t="s">
        <v>1137</v>
      </c>
      <c r="B3577" s="1" t="str">
        <f ca="1">IFERROR(__xludf.DUMFUNCTION("GOOGLETRANSLATE(A3663,""id"",""en"")"),"Followers Mincot who know Real Deception Recruitment Recruitment  Re Upload Tdi Forgot Email Sensor")</f>
        <v>Followers Mincot who know Real Deception Recruitment Recruitment  Re Upload Tdi Forgot Email Sensor</v>
      </c>
    </row>
    <row r="3578" spans="1:2" x14ac:dyDescent="0.2">
      <c r="A3578" s="1" t="s">
        <v>288</v>
      </c>
      <c r="B3578" s="1" t="str">
        <f ca="1">IFERROR(__xludf.DUMFUNCTION("GOOGLETRANSLATE(A3664,""id"",""en"")"),"TL AMBYA INDONESIA JAVA ISLAND")</f>
        <v>TL AMBYA INDONESIA JAVA ISLAND</v>
      </c>
    </row>
    <row r="3579" spans="1:2" x14ac:dyDescent="0.2">
      <c r="A3579" s="1" t="s">
        <v>289</v>
      </c>
      <c r="B3579" s="1" t="str">
        <f ca="1">IFERROR(__xludf.DUMFUNCTION("GOOGLETRANSLATE(A3665,""id"",""en"")"),"Cigarettes may")</f>
        <v>Cigarettes may</v>
      </c>
    </row>
    <row r="3580" spans="1:2" x14ac:dyDescent="0.2">
      <c r="A3580" s="1" t="s">
        <v>1138</v>
      </c>
      <c r="B3580" s="1" t="str">
        <f ca="1">IFERROR(__xludf.DUMFUNCTION("GOOGLETRANSLATE(A3666,""id"",""en"")"),"You are not protected by the order of Pertamax Std's Gasoline Permit, the price of the world oil is guaranteed non - gasoline, so annoyed, so annoyed by  Shell.")</f>
        <v>You are not protected by the order of Pertamax Std's Gasoline Permit, the price of the world oil is guaranteed non - gasoline, so annoyed, so annoyed by  Shell.</v>
      </c>
    </row>
    <row r="3581" spans="1:2" x14ac:dyDescent="0.2">
      <c r="A3581" s="1" t="s">
        <v>1139</v>
      </c>
      <c r="B3581" s="1" t="str">
        <f ca="1">IFERROR(__xludf.DUMFUNCTION("GOOGLETRANSLATE(A3667,""id"",""en"")"),"Change Difficult to accept those who have been comfortable using pertalite using applications near the numbers of DIAN BBM stock consistently not  with a melon gas system just chaotic")</f>
        <v>Change Difficult to accept those who have been comfortable using pertalite using applications near the numbers of DIAN BBM stock consistently not  with a melon gas system just chaotic</v>
      </c>
    </row>
    <row r="3582" spans="1:2" x14ac:dyDescent="0.2">
      <c r="A3582" s="1" t="s">
        <v>290</v>
      </c>
      <c r="B3582" s="1" t="str">
        <f ca="1">IFERROR(__xludf.DUMFUNCTION("GOOGLETRANSLATE(A3668,""id"",""en"")"),"see the logo sis, you know the logo isn't using the keypad mobile phone if it's already full of touch screens like")</f>
        <v>see the logo sis, you know the logo isn't using the keypad mobile phone if it's already full of touch screens like</v>
      </c>
    </row>
    <row r="3583" spans="1:2" x14ac:dyDescent="0.2">
      <c r="A3583" s="1" t="s">
        <v>291</v>
      </c>
      <c r="B3583" s="1" t="str">
        <f ca="1">IFERROR(__xludf.DUMFUNCTION("GOOGLETRANSLATE(A3669,""id"",""en"")"),"You have to do a twitter, but it is clear, but I am directly, but the fate is the fate that bought BBM, because I don't understand the cellphone, who doesn't understand playing the cellphone, it's more funny, it's bosss")</f>
        <v>You have to do a twitter, but it is clear, but I am directly, but the fate is the fate that bought BBM, because I don't understand the cellphone, who doesn't understand playing the cellphone, it's more funny, it's bosss</v>
      </c>
    </row>
    <row r="3584" spans="1:2" x14ac:dyDescent="0.2">
      <c r="A3584" s="1" t="s">
        <v>5051</v>
      </c>
      <c r="B3584" s="1" t="str">
        <f ca="1">IFERROR(__xludf.DUMFUNCTION("GOOGLETRANSLATE(A3670,""id"",""en"")"),"just install   last night")</f>
        <v>just install   last night</v>
      </c>
    </row>
    <row r="3585" spans="1:2" x14ac:dyDescent="0.2">
      <c r="A3585" s="1" t="s">
        <v>5052</v>
      </c>
      <c r="B3585" s="1" t="str">
        <f ca="1">IFERROR(__xludf.DUMFUNCTION("GOOGLETRANSLATE(A3671,""id"",""en"")"),"Scan Barcode   Entrance")</f>
        <v>Scan Barcode   Entrance</v>
      </c>
    </row>
    <row r="3586" spans="1:2" x14ac:dyDescent="0.2">
      <c r="A3586" s="1" t="s">
        <v>5053</v>
      </c>
      <c r="B3586" s="1" t="str">
        <f ca="1">IFERROR(__xludf.DUMFUNCTION("GOOGLETRANSLATE(A3672,""id"",""en"")"),"wisely buy gasoline  application fishing reaction")</f>
        <v>wisely buy gasoline  application fishing reaction</v>
      </c>
    </row>
    <row r="3587" spans="1:2" x14ac:dyDescent="0.2">
      <c r="A3587" s="1" t="s">
        <v>1140</v>
      </c>
      <c r="B3587" s="1" t="str">
        <f ca="1">IFERROR(__xludf.DUMFUNCTION("GOOGLETRANSLATE(A3673,""id"",""en"")"),"This is really cool  is the result of the entry of the top strongest oil amp gas brand")</f>
        <v>This is really cool  is the result of the entry of the top strongest oil amp gas brand</v>
      </c>
    </row>
    <row r="3588" spans="1:2" x14ac:dyDescent="0.2">
      <c r="A3588" s="1" t="s">
        <v>292</v>
      </c>
      <c r="B3588" s="1" t="str">
        <f ca="1">IFERROR(__xludf.DUMFUNCTION("GOOGLETRANSLATE(A3674,""id"",""en"")"),"if that's the case")</f>
        <v>if that's the case</v>
      </c>
    </row>
    <row r="3589" spans="1:2" x14ac:dyDescent="0.2">
      <c r="A3589" s="1" t="s">
        <v>1141</v>
      </c>
      <c r="B3589" s="1" t="str">
        <f ca="1">IFERROR(__xludf.DUMFUNCTION("GOOGLETRANSLATE(A3675,""id"",""en"")"),"Believe  Loss of Raising  Employee Salary Shouting Loss of Salah Community Increases Fuel Prices")</f>
        <v>Believe  Loss of Raising  Employee Salary Shouting Loss of Salah Community Increases Fuel Prices</v>
      </c>
    </row>
    <row r="3590" spans="1:2" x14ac:dyDescent="0.2">
      <c r="A3590" s="1" t="s">
        <v>1142</v>
      </c>
      <c r="B3590" s="1" t="str">
        <f ca="1">IFERROR(__xludf.DUMFUNCTION("GOOGLETRANSLATE(A3678,""id"",""en"")")," Strong view  Emotional Emotional Benefits")</f>
        <v xml:space="preserve"> Strong view  Emotional Emotional Benefits</v>
      </c>
    </row>
    <row r="3591" spans="1:2" x14ac:dyDescent="0.2">
      <c r="A3591" s="1" t="s">
        <v>5054</v>
      </c>
      <c r="B3591" s="1" t="str">
        <f ca="1">IFERROR(__xludf.DUMFUNCTION("GOOGLETRANSLATE(A3679,""id"",""en"")"),"I understand buying a solar pertalite list of   who uses Sasar Pertamax, buy pertalite understand that noisy application usually reads the title of the title")</f>
        <v>I understand buying a solar pertalite list of   who uses Sasar Pertamax, buy pertalite understand that noisy application usually reads the title of the title</v>
      </c>
    </row>
    <row r="3592" spans="1:2" x14ac:dyDescent="0.2">
      <c r="A3592" s="1" t="s">
        <v>1143</v>
      </c>
      <c r="B3592" s="1" t="str">
        <f ca="1">IFERROR(__xludf.DUMFUNCTION("GOOGLETRANSLATE(A3680,""id"",""en"")"),"Congratulations  Good Focus on Optimal Maximum Business")</f>
        <v>Congratulations  Good Focus on Optimal Maximum Business</v>
      </c>
    </row>
    <row r="3593" spans="1:2" x14ac:dyDescent="0.2">
      <c r="A3593" s="1" t="s">
        <v>1144</v>
      </c>
      <c r="B3593" s="1" t="str">
        <f ca="1">IFERROR(__xludf.DUMFUNCTION("GOOGLETRANSLATE(A3681,""id"",""en"")"),"good receive bli not like  just buying gasoline thousand")</f>
        <v>good receive bli not like  just buying gasoline thousand</v>
      </c>
    </row>
    <row r="3594" spans="1:2" x14ac:dyDescent="0.2">
      <c r="A3594" s="1" t="s">
        <v>5055</v>
      </c>
      <c r="B3594" s="1" t="str">
        <f ca="1">IFERROR(__xludf.DUMFUNCTION("GOOGLETRANSLATE(A3682,""id"",""en"")"),"wisely buy gasoline applications  fishing rod reaction people trials sanction the effectiveness of new fuel applications essays")</f>
        <v>wisely buy gasoline applications  fishing rod reaction people trials sanction the effectiveness of new fuel applications essays</v>
      </c>
    </row>
    <row r="3595" spans="1:2" x14ac:dyDescent="0.2">
      <c r="A3595" s="1" t="s">
        <v>1145</v>
      </c>
      <c r="B3595" s="1" t="str">
        <f ca="1">IFERROR(__xludf.DUMFUNCTION("GOOGLETRANSLATE(A3683,""id"",""en"")"),"service trial for the list of  Patra Niaga Energytoday")</f>
        <v>service trial for the list of  Patra Niaga Energytoday</v>
      </c>
    </row>
    <row r="3596" spans="1:2" x14ac:dyDescent="0.2">
      <c r="A3596" s="1" t="s">
        <v>1146</v>
      </c>
      <c r="B3596" s="1" t="str">
        <f ca="1">IFERROR(__xludf.DUMFUNCTION("GOOGLETRANSLATE(A3684,""id"",""en"")"),"'s loss uses the BBM consumer application buy BBM pom")</f>
        <v>'s loss uses the BBM consumer application buy BBM pom</v>
      </c>
    </row>
    <row r="3597" spans="1:2" x14ac:dyDescent="0.2">
      <c r="A3597" s="1" t="s">
        <v>1147</v>
      </c>
      <c r="B3597" s="1" t="str">
        <f ca="1">IFERROR(__xludf.DUMFUNCTION("GOOGLETRANSLATE(A3685,""id"",""en"")"),"Jogja who supports the Coco Company Owned Company Operates gas station application owned by , if the distance of the house near the coco gas station but does not appear list")</f>
        <v>Jogja who supports the Coco Company Owned Company Operates gas station application owned by , if the distance of the house near the coco gas station but does not appear list</v>
      </c>
    </row>
    <row r="3598" spans="1:2" x14ac:dyDescent="0.2">
      <c r="A3598" s="1" t="s">
        <v>1148</v>
      </c>
      <c r="B3598" s="1" t="str">
        <f ca="1">IFERROR(__xludf.DUMFUNCTION("GOOGLETRANSLATE(A3686,""id"",""en"")"),"HAPPY  ENTERING TOP STRENGEST OIL AMP GAS BRAND")</f>
        <v>HAPPY  ENTERING TOP STRENGEST OIL AMP GAS BRAND</v>
      </c>
    </row>
    <row r="3599" spans="1:2" x14ac:dyDescent="0.2">
      <c r="A3599" s="1" t="s">
        <v>5056</v>
      </c>
      <c r="B3599" s="1" t="str">
        <f ca="1">IFERROR(__xludf.DUMFUNCTION("GOOGLETRANSLATE(A3687,""id"",""en"")"),"Donlod   Ram Gb is difficult")</f>
        <v>Donlod   Ram Gb is difficult</v>
      </c>
    </row>
    <row r="3600" spans="1:2" x14ac:dyDescent="0.2">
      <c r="A3600" s="1" t="s">
        <v>293</v>
      </c>
      <c r="B3600" s="1" t="str">
        <f ca="1">IFERROR(__xludf.DUMFUNCTION("GOOGLETRANSLATE(A3688,""id"",""en"")"),"Padang City Hall Android Bli Pertalite Mah")</f>
        <v>Padang City Hall Android Bli Pertalite Mah</v>
      </c>
    </row>
    <row r="3601" spans="1:2" x14ac:dyDescent="0.2">
      <c r="A3601" s="1" t="s">
        <v>1149</v>
      </c>
      <c r="B3601" s="1" t="str">
        <f ca="1">IFERROR(__xludf.DUMFUNCTION("GOOGLETRANSLATE(A3689,""id"",""en"")"),"easy  proof of good results")</f>
        <v>easy  proof of good results</v>
      </c>
    </row>
    <row r="3602" spans="1:2" x14ac:dyDescent="0.2">
      <c r="A3602" s="1" t="s">
        <v>1150</v>
      </c>
      <c r="B3602" s="1" t="str">
        <f ca="1">IFERROR(__xludf.DUMFUNCTION("GOOGLETRANSLATE(A3690,""id"",""en"")"),"aware of 's son, a very neat floor, wkwkwk")</f>
        <v>aware of 's son, a very neat floor, wkwkwk</v>
      </c>
    </row>
    <row r="3603" spans="1:2" x14ac:dyDescent="0.2">
      <c r="A3603" s="1" t="s">
        <v>1151</v>
      </c>
      <c r="B3603" s="1" t="str">
        <f ca="1">IFERROR(__xludf.DUMFUNCTION("GOOGLETRANSLATE(A3692,""id"",""en"")"),"Proud to achieve the results of  going forward  in front")</f>
        <v>Proud to achieve the results of  going forward  in front</v>
      </c>
    </row>
    <row r="3604" spans="1:2" x14ac:dyDescent="0.2">
      <c r="A3604" s="1" t="s">
        <v>294</v>
      </c>
      <c r="B3604" s="1" t="str">
        <f ca="1">IFERROR(__xludf.DUMFUNCTION("GOOGLETRANSLATE(A3694,""id"",""en"")"),"as a result of the lock cardboard all the crazy crazy adjust")</f>
        <v>as a result of the lock cardboard all the crazy crazy adjust</v>
      </c>
    </row>
    <row r="3605" spans="1:2" x14ac:dyDescent="0.2">
      <c r="A3605" s="1" t="s">
        <v>295</v>
      </c>
      <c r="B3605" s="1" t="str">
        <f ca="1">IFERROR(__xludf.DUMFUNCTION("GOOGLETRANSLATE(A3695,""id"",""en"")"),"Solar Premium Bengsin Ari Nauh Uyuh Sia Mah Daek Dibo")</f>
        <v>Solar Premium Bengsin Ari Nauh Uyuh Sia Mah Daek Dibo</v>
      </c>
    </row>
    <row r="3606" spans="1:2" x14ac:dyDescent="0.2">
      <c r="A3606" s="1" t="s">
        <v>296</v>
      </c>
      <c r="B3606" s="1" t="str">
        <f ca="1">IFERROR(__xludf.DUMFUNCTION("GOOGLETRANSLATE(A3696,""id"",""en"")"),"Long Bandung gas station")</f>
        <v>Long Bandung gas station</v>
      </c>
    </row>
    <row r="3607" spans="1:2" x14ac:dyDescent="0.2">
      <c r="A3607" s="1" t="s">
        <v>1152</v>
      </c>
      <c r="B3607" s="1" t="str">
        <f ca="1">IFERROR(__xludf.DUMFUNCTION("GOOGLETRANSLATE(A3697,""id"",""en"")"),"Jenen is really , the result of Brand Strength Index BSI")</f>
        <v>Jenen is really , the result of Brand Strength Index BSI</v>
      </c>
    </row>
    <row r="3608" spans="1:2" x14ac:dyDescent="0.2">
      <c r="A3608" s="1" t="s">
        <v>5045</v>
      </c>
      <c r="B3608" s="1" t="str">
        <f ca="1">IFERROR(__xludf.DUMFUNCTION("GOOGLETRANSLATE(A3698,""id"",""en"")"),"  Pertamax Bright Gas Yuk joined the    GEPANASIK Giveaway")</f>
        <v xml:space="preserve">  Pertamax Bright Gas Yuk joined the    GEPANASIK Giveaway</v>
      </c>
    </row>
    <row r="3609" spans="1:2" x14ac:dyDescent="0.2">
      <c r="A3609" s="1" t="s">
        <v>1153</v>
      </c>
      <c r="B3609" s="1" t="str">
        <f ca="1">IFERROR(__xludf.DUMFUNCTION("GOOGLETRANSLATE(A3699,""id"",""en"")"),"'s loss using the application")</f>
        <v>'s loss using the application</v>
      </c>
    </row>
    <row r="3610" spans="1:2" x14ac:dyDescent="0.2">
      <c r="A3610" s="1" t="s">
        <v>1154</v>
      </c>
      <c r="B3610" s="1" t="str">
        <f ca="1">IFERROR(__xludf.DUMFUNCTION("GOOGLETRANSLATE(A3700,""id"",""en"")"),"good luck believe  both sides")</f>
        <v>good luck believe  both sides</v>
      </c>
    </row>
    <row r="3611" spans="1:2" x14ac:dyDescent="0.2">
      <c r="A3611" s="1" t="s">
        <v>1155</v>
      </c>
      <c r="B3611" s="1" t="str">
        <f ca="1">IFERROR(__xludf.DUMFUNCTION("GOOGLETRANSLATE(A3701,""id"",""en"")"),"aware of the BUMN contents not competent practitioners really understand the ene oil against hadeuh thinking helping ")</f>
        <v xml:space="preserve">aware of the BUMN contents not competent practitioners really understand the ene oil against hadeuh thinking helping </v>
      </c>
    </row>
    <row r="3612" spans="1:2" x14ac:dyDescent="0.2">
      <c r="A3612" s="1" t="s">
        <v>1156</v>
      </c>
      <c r="B3612" s="1" t="str">
        <f ca="1">IFERROR(__xludf.DUMFUNCTION("GOOGLETRANSLATE(A3702,""id"",""en"")"),"'s motorbike is changing, you know")</f>
        <v>'s motorbike is changing, you know</v>
      </c>
    </row>
    <row r="3613" spans="1:2" x14ac:dyDescent="0.2">
      <c r="A3613" s="1" t="s">
        <v>1157</v>
      </c>
      <c r="B3613" s="1" t="str">
        <f ca="1">IFERROR(__xludf.DUMFUNCTION("GOOGLETRANSLATE(A3703,""id"",""en"")")," Toreh Achievement Proud of the results of the results of the World Strongest Oil Amp Gas Brands")</f>
        <v xml:space="preserve"> Toreh Achievement Proud of the results of the results of the World Strongest Oil Amp Gas Brands</v>
      </c>
    </row>
    <row r="3614" spans="1:2" x14ac:dyDescent="0.2">
      <c r="A3614" s="1" t="s">
        <v>5057</v>
      </c>
      <c r="B3614" s="1" t="str">
        <f ca="1">IFERROR(__xludf.DUMFUNCTION("GOOGLETRANSLATE(A3704,""id"",""en"")"),"orders to make apps better just care about the protection of   etc. so as not to make me in  cellphone potato")</f>
        <v>orders to make apps better just care about the protection of   etc. so as not to make me in  cellphone potato</v>
      </c>
    </row>
    <row r="3615" spans="1:2" x14ac:dyDescent="0.2">
      <c r="A3615" s="1" t="s">
        <v>5058</v>
      </c>
      <c r="B3615" s="1" t="str">
        <f ca="1">IFERROR(__xludf.DUMFUNCTION("GOOGLETRANSLATE(A3705,""id"",""en"")")," 's strange logic is insensitive to the people's lives via")</f>
        <v xml:space="preserve"> 's strange logic is insensitive to the people's lives via</v>
      </c>
    </row>
    <row r="3616" spans="1:2" x14ac:dyDescent="0.2">
      <c r="A3616" s="1" t="s">
        <v>297</v>
      </c>
      <c r="B3616" s="1" t="str">
        <f ca="1">IFERROR(__xludf.DUMFUNCTION("GOOGLETRANSLATE(A3706,""id"",""en"")"),"hahahaha Funny Buuangheettt Hayoo Answer Bbb")</f>
        <v>hahahaha Funny Buuangheettt Hayoo Answer Bbb</v>
      </c>
    </row>
    <row r="3617" spans="1:2" x14ac:dyDescent="0.2">
      <c r="A3617" s="1" t="s">
        <v>1158</v>
      </c>
      <c r="B3617" s="1" t="str">
        <f ca="1">IFERROR(__xludf.DUMFUNCTION("GOOGLETRANSLATE(A3707,""id"",""en"")")," results from ranking Brand Finance Top Strongest Oil Amp Gas Brand ranking")</f>
        <v xml:space="preserve"> results from ranking Brand Finance Top Strongest Oil Amp Gas Brand ranking</v>
      </c>
    </row>
    <row r="3618" spans="1:2" x14ac:dyDescent="0.2">
      <c r="A3618" s="1" t="s">
        <v>5059</v>
      </c>
      <c r="B3618" s="1" t="str">
        <f ca="1">IFERROR(__xludf.DUMFUNCTION("GOOGLETRANSLATE(A3709,""id"",""en"")")," The Standard Standard Meeting Mains Wa An SPBU Game Open the  Sultan  mah application free")</f>
        <v xml:space="preserve"> The Standard Standard Meeting Mains Wa An SPBU Game Open the  Sultan  mah application free</v>
      </c>
    </row>
    <row r="3619" spans="1:2" x14ac:dyDescent="0.2">
      <c r="A3619" s="1" t="s">
        <v>1159</v>
      </c>
      <c r="B3619" s="1" t="str">
        <f ca="1">IFERROR(__xludf.DUMFUNCTION("GOOGLETRANSLATE(A3710,""id"",""en"")"),"Sing, fortunately,  pjbt bro")</f>
        <v>Sing, fortunately,  pjbt bro</v>
      </c>
    </row>
    <row r="3620" spans="1:2" x14ac:dyDescent="0.2">
      <c r="A3620" s="1" t="s">
        <v>5060</v>
      </c>
      <c r="B3620" s="1" t="str">
        <f ca="1">IFERROR(__xludf.DUMFUNCTION("GOOGLETRANSLATE(A3711,""id"",""en"")"),"Buy Cooking Oil Cares Protection Buy Gasoline   Application OK")</f>
        <v>Buy Cooking Oil Cares Protection Buy Gasoline   Application OK</v>
      </c>
    </row>
    <row r="3621" spans="1:2" x14ac:dyDescent="0.2">
      <c r="A3621" s="1" t="s">
        <v>1160</v>
      </c>
      <c r="B3621" s="1" t="str">
        <f ca="1">IFERROR(__xludf.DUMFUNCTION("GOOGLETRANSLATE(A3712,""id"",""en"")"),"The country in  is full of responsibility")</f>
        <v>The country in  is full of responsibility</v>
      </c>
    </row>
    <row r="3622" spans="1:2" x14ac:dyDescent="0.2">
      <c r="A3622" s="1" t="s">
        <v>5061</v>
      </c>
      <c r="B3622" s="1" t="str">
        <f ca="1">IFERROR(__xludf.DUMFUNCTION("GOOGLETRANSLATE(A3713,""id"",""en"")"),"'s plan for the limit of buying fuel subsidies for solar pertalite with  applications")</f>
        <v>'s plan for the limit of buying fuel subsidies for solar pertalite with  applications</v>
      </c>
    </row>
    <row r="3623" spans="1:2" x14ac:dyDescent="0.2">
      <c r="A3623" s="1" t="s">
        <v>1161</v>
      </c>
      <c r="B3623" s="1" t="str">
        <f ca="1">IFERROR(__xludf.DUMFUNCTION("GOOGLETRANSLATE(A3714,""id"",""en"")"),"uncle noted  fortunately or not")</f>
        <v>uncle noted  fortunately or not</v>
      </c>
    </row>
    <row r="3624" spans="1:2" x14ac:dyDescent="0.2">
      <c r="A3624" s="1" t="s">
        <v>298</v>
      </c>
      <c r="B3624" s="1" t="str">
        <f ca="1">IFERROR(__xludf.DUMFUNCTION("GOOGLETRANSLATE(A3715,""id"",""en"")"),"Just stuck")</f>
        <v>Just stuck</v>
      </c>
    </row>
    <row r="3625" spans="1:2" x14ac:dyDescent="0.2">
      <c r="A3625" s="1" t="s">
        <v>299</v>
      </c>
      <c r="B3625" s="1" t="str">
        <f ca="1">IFERROR(__xludf.DUMFUNCTION("GOOGLETRANSLATE(A3716,""id"",""en"")"),"Data does not sell")</f>
        <v>Data does not sell</v>
      </c>
    </row>
    <row r="3626" spans="1:2" x14ac:dyDescent="0.2">
      <c r="A3626" s="1" t="s">
        <v>1162</v>
      </c>
      <c r="B3626" s="1" t="str">
        <f ca="1">IFERROR(__xludf.DUMFUNCTION("GOOGLETRANSLATE(A3717,""id"",""en"")"),"maybe this is how to do the  officials, so that you can be targeted, you can use the internet of things.")</f>
        <v>maybe this is how to do the  officials, so that you can be targeted, you can use the internet of things.</v>
      </c>
    </row>
    <row r="3627" spans="1:2" x14ac:dyDescent="0.2">
      <c r="A3627" s="1" t="s">
        <v>1163</v>
      </c>
      <c r="B3627" s="1" t="str">
        <f ca="1">IFERROR(__xludf.DUMFUNCTION("GOOGLETRANSLATE(A3718,""id"",""en"")"),"the motorbike is not a motorbike jaklingko if the Batavia area is also Jaklingko if  is fortunate that the minister is cuk")</f>
        <v>the motorbike is not a motorbike jaklingko if the Batavia area is also Jaklingko if  is fortunate that the minister is cuk</v>
      </c>
    </row>
    <row r="3628" spans="1:2" x14ac:dyDescent="0.2">
      <c r="A3628" s="1" t="s">
        <v>5062</v>
      </c>
      <c r="B3628" s="1" t="str">
        <f ca="1">IFERROR(__xludf.DUMFUNCTION("GOOGLETRANSLATE(A3719,""id"",""en"")"),"Just the criteria for the right to use pertalite the basic article of the official mamit  command plus the list of   yes error when I get OTP, it's really Pertamax, bro")</f>
        <v>Just the criteria for the right to use pertalite the basic article of the official mamit  command plus the list of   yes error when I get OTP, it's really Pertamax, bro</v>
      </c>
    </row>
    <row r="3629" spans="1:2" x14ac:dyDescent="0.2">
      <c r="A3629" s="1" t="s">
        <v>1164</v>
      </c>
      <c r="B3629" s="1" t="str">
        <f ca="1">IFERROR(__xludf.DUMFUNCTION("GOOGLETRANSLATE(A3720,""id"",""en"")")," Loss BUMN Work Work Loss Loss Loss")</f>
        <v xml:space="preserve"> Loss BUMN Work Work Loss Loss Loss</v>
      </c>
    </row>
    <row r="3630" spans="1:2" x14ac:dyDescent="0.2">
      <c r="A3630" s="1" t="s">
        <v>1165</v>
      </c>
      <c r="B3630" s="1" t="str">
        <f ca="1">IFERROR(__xludf.DUMFUNCTION("GOOGLETRANSLATE(A3721,""id"",""en"")"),"Prisoners Shame in 's Managing Director")</f>
        <v>Prisoners Shame in 's Managing Director</v>
      </c>
    </row>
    <row r="3631" spans="1:2" x14ac:dyDescent="0.2">
      <c r="A3631" s="1" t="s">
        <v>1166</v>
      </c>
      <c r="B3631" s="1" t="str">
        <f ca="1">IFERROR(__xludf.DUMFUNCTION("GOOGLETRANSLATE(A3722,""id"",""en"")"),"Apas  Fomo is not completely digital")</f>
        <v>Apas  Fomo is not completely digital</v>
      </c>
    </row>
    <row r="3632" spans="1:2" x14ac:dyDescent="0.2">
      <c r="A3632" s="1" t="s">
        <v>5063</v>
      </c>
      <c r="B3632" s="1" t="str">
        <f ca="1">IFERROR(__xludf.DUMFUNCTION("GOOGLETRANSLATE(A3723,""id"",""en"")")," fortunately Buying must download  billions")</f>
        <v xml:space="preserve"> fortunately Buying must download  billions</v>
      </c>
    </row>
    <row r="3633" spans="1:2" x14ac:dyDescent="0.2">
      <c r="A3633" s="1" t="s">
        <v>1167</v>
      </c>
      <c r="B3633" s="1" t="str">
        <f ca="1">IFERROR(__xludf.DUMFUNCTION("GOOGLETRANSLATE(A3724,""id"",""en"")"),"tuh hindar selling gasoline retail when it is so  knows the data run out of gasoline")</f>
        <v>tuh hindar selling gasoline retail when it is so  knows the data run out of gasoline</v>
      </c>
    </row>
    <row r="3634" spans="1:2" x14ac:dyDescent="0.2">
      <c r="A3634" s="1" t="s">
        <v>300</v>
      </c>
      <c r="B3634" s="1" t="str">
        <f ca="1">IFERROR(__xludf.DUMFUNCTION("GOOGLETRANSLATE(A3725,""id"",""en"")"),"Selling Paksin, why not selling pertalite plorotin pertalite paksin after community interest")</f>
        <v>Selling Paksin, why not selling pertalite plorotin pertalite paksin after community interest</v>
      </c>
    </row>
    <row r="3635" spans="1:2" x14ac:dyDescent="0.2">
      <c r="A3635" s="1" t="s">
        <v>301</v>
      </c>
      <c r="B3635" s="1" t="str">
        <f ca="1">IFERROR(__xludf.DUMFUNCTION("GOOGLETRANSLATE(A3726,""id"",""en"")"),"The aircraft is also on the cellphone, ready for wifi, special for lying")</f>
        <v>The aircraft is also on the cellphone, ready for wifi, special for lying</v>
      </c>
    </row>
    <row r="3636" spans="1:2" x14ac:dyDescent="0.2">
      <c r="A3636" s="1" t="s">
        <v>1168</v>
      </c>
      <c r="B3636" s="1" t="str">
        <f ca="1">IFERROR(__xludf.DUMFUNCTION("GOOGLETRANSLATE(A3727,""id"",""en"")"),"It's not a function of tracking if you go to memorize using  the function")</f>
        <v>It's not a function of tracking if you go to memorize using  the function</v>
      </c>
    </row>
    <row r="3637" spans="1:2" x14ac:dyDescent="0.2">
      <c r="A3637" s="1" t="s">
        <v>302</v>
      </c>
      <c r="B3637" s="1" t="str">
        <f ca="1">IFERROR(__xludf.DUMFUNCTION("GOOGLETRANSLATE(A3728,""id"",""en"")"),"taik taik")</f>
        <v>taik taik</v>
      </c>
    </row>
    <row r="3638" spans="1:2" x14ac:dyDescent="0.2">
      <c r="A3638" s="1" t="s">
        <v>1169</v>
      </c>
      <c r="B3638" s="1" t="str">
        <f ca="1">IFERROR(__xludf.DUMFUNCTION("GOOGLETRANSLATE(A3729,""id"",""en"")"),"The right not to motorcycle Turns Umr workers need to be the right of 's profit")</f>
        <v>The right not to motorcycle Turns Umr workers need to be the right of 's profit</v>
      </c>
    </row>
    <row r="3639" spans="1:2" x14ac:dyDescent="0.2">
      <c r="A3639" s="1" t="s">
        <v>5064</v>
      </c>
      <c r="B3639" s="1" t="str">
        <f ca="1">IFERROR(__xludf.DUMFUNCTION("GOOGLETRANSLATE(A3730,""id"",""en"")")," Indications not belonging to accurate data about BBM subsidies for the application  printing cards after the efforts to go to the role of the role as a dsr take the strategic cutting into the AMP innovation program that can be satisfi"&amp;"ed")</f>
        <v xml:space="preserve"> Indications not belonging to accurate data about BBM subsidies for the application  printing cards after the efforts to go to the role of the role as a dsr take the strategic cutting into the AMP innovation program that can be satisfied</v>
      </c>
    </row>
    <row r="3640" spans="1:2" x14ac:dyDescent="0.2">
      <c r="A3640" s="1" t="s">
        <v>5065</v>
      </c>
      <c r="B3640" s="1" t="str">
        <f ca="1">IFERROR(__xludf.DUMFUNCTION("GOOGLETRANSLATE(A3731,""id"",""en"")"),"  Pertamax Bright Gas Giveaway rjbt ")</f>
        <v xml:space="preserve">  Pertamax Bright Gas Giveaway rjbt </v>
      </c>
    </row>
    <row r="3641" spans="1:2" x14ac:dyDescent="0.2">
      <c r="A3641" s="1" t="s">
        <v>1170</v>
      </c>
      <c r="B3641" s="1" t="str">
        <f ca="1">IFERROR(__xludf.DUMFUNCTION("GOOGLETRANSLATE(A3732,""id"",""en"")"),"the limit of fuel consumption subsidized  Realization Urges to buy Pertalite List July HTT")</f>
        <v>the limit of fuel consumption subsidized  Realization Urges to buy Pertalite List July HTT</v>
      </c>
    </row>
    <row r="3642" spans="1:2" x14ac:dyDescent="0.2">
      <c r="A3642" s="1" t="s">
        <v>303</v>
      </c>
      <c r="B3642" s="1" t="str">
        <f ca="1">IFERROR(__xludf.DUMFUNCTION("GOOGLETRANSLATE(A3733,""id"",""en"")"),"migrant")</f>
        <v>migrant</v>
      </c>
    </row>
    <row r="3643" spans="1:2" x14ac:dyDescent="0.2">
      <c r="A3643" s="1" t="s">
        <v>5066</v>
      </c>
      <c r="B3643" s="1" t="str">
        <f ca="1">IFERROR(__xludf.DUMFUNCTION("GOOGLETRANSLATE(A3734,""id"",""en"")")," Managing Director, the political opponent until the heart attacked using the issue of , he was not interested")</f>
        <v xml:space="preserve"> Managing Director, the political opponent until the heart attacked using the issue of , he was not interested</v>
      </c>
    </row>
    <row r="3644" spans="1:2" x14ac:dyDescent="0.2">
      <c r="A3644" s="1" t="s">
        <v>5067</v>
      </c>
      <c r="B3644" s="1" t="str">
        <f ca="1">IFERROR(__xludf.DUMFUNCTION("GOOGLETRANSLATE(A3735,""id"",""en"")"),"already using the  application already yr not a gift that repeat using it like that ltr gpp")</f>
        <v>already using the  application already yr not a gift that repeat using it like that ltr gpp</v>
      </c>
    </row>
    <row r="3645" spans="1:2" x14ac:dyDescent="0.2">
      <c r="A3645" s="1" t="s">
        <v>5068</v>
      </c>
      <c r="B3645" s="1" t="str">
        <f ca="1">IFERROR(__xludf.DUMFUNCTION("GOOGLETRANSLATE(A3736,""id"",""en"")")," Bright Gas Pertamax Pertamanasik Giveaway rjbt  Come join")</f>
        <v xml:space="preserve"> Bright Gas Pertamax Pertamanasik Giveaway rjbt  Come join</v>
      </c>
    </row>
    <row r="3646" spans="1:2" x14ac:dyDescent="0.2">
      <c r="A3646" s="1" t="s">
        <v>304</v>
      </c>
      <c r="B3646" s="1" t="str">
        <f ca="1">IFERROR(__xludf.DUMFUNCTION("GOOGLETRANSLATE(A3737,""id"",""en"")"),"Goblok if set")</f>
        <v>Goblok if set</v>
      </c>
    </row>
    <row r="3647" spans="1:2" x14ac:dyDescent="0.2">
      <c r="A3647" s="1" t="s">
        <v>305</v>
      </c>
      <c r="B3647" s="1" t="str">
        <f ca="1">IFERROR(__xludf.DUMFUNCTION("GOOGLETRANSLATE(A3738,""id"",""en"")"),"Paying bombs using Emoney is already weird, just buy the right application")</f>
        <v>Paying bombs using Emoney is already weird, just buy the right application</v>
      </c>
    </row>
    <row r="3648" spans="1:2" x14ac:dyDescent="0.2">
      <c r="A3648" s="1" t="s">
        <v>1171</v>
      </c>
      <c r="B3648" s="1" t="str">
        <f ca="1">IFERROR(__xludf.DUMFUNCTION("GOOGLETRANSLATE(A3739,""id"",""en"")"),"The barcod scan assignment is  entrance to buy the contents of the application data, just fill in the concept")</f>
        <v>The barcod scan assignment is  entrance to buy the contents of the application data, just fill in the concept</v>
      </c>
    </row>
    <row r="3649" spans="1:2" x14ac:dyDescent="0.2">
      <c r="A3649" s="1" t="s">
        <v>306</v>
      </c>
      <c r="B3649" s="1" t="str">
        <f ca="1">IFERROR(__xludf.DUMFUNCTION("GOOGLETRANSLATE(A3740,""id"",""en"")"),"welcome to wakanda land")</f>
        <v>welcome to wakanda land</v>
      </c>
    </row>
    <row r="3650" spans="1:2" x14ac:dyDescent="0.2">
      <c r="A3650" s="1" t="s">
        <v>1172</v>
      </c>
      <c r="B3650" s="1" t="str">
        <f ca="1">IFERROR(__xludf.DUMFUNCTION("GOOGLETRANSLATE(A3741,""id"",""en"")"),"when not receiving UTBK  Ulbi Telkom Purwokerto Nhechaty")</f>
        <v>when not receiving UTBK  Ulbi Telkom Purwokerto Nhechaty</v>
      </c>
    </row>
    <row r="3651" spans="1:2" x14ac:dyDescent="0.2">
      <c r="A3651" s="1" t="s">
        <v>1173</v>
      </c>
      <c r="B3651" s="1" t="str">
        <f ca="1">IFERROR(__xludf.DUMFUNCTION("GOOGLETRANSLATE(A3742,""id"",""en"")"),"Those who told you to use 's app or yes, the wrong Kalimantan, which stabbed the solar queuing case, was not waiting for the day to think of using the dump truck driver, etc.")</f>
        <v>Those who told you to use 's app or yes, the wrong Kalimantan, which stabbed the solar queuing case, was not waiting for the day to think of using the dump truck driver, etc.</v>
      </c>
    </row>
    <row r="3652" spans="1:2" x14ac:dyDescent="0.2">
      <c r="A3652" s="1" t="s">
        <v>1174</v>
      </c>
      <c r="B3652" s="1" t="str">
        <f ca="1">IFERROR(__xludf.DUMFUNCTION("GOOGLETRANSLATE(A3744,""id"",""en"")"),"You am ambiguous, not, , don't play a cellphone, but you use a cellphone, buying a funny gasoline, or not.")</f>
        <v>You am ambiguous, not, , don't play a cellphone, but you use a cellphone, buying a funny gasoline, or not.</v>
      </c>
    </row>
    <row r="3653" spans="1:2" x14ac:dyDescent="0.2">
      <c r="A3653" s="1" t="s">
        <v>5069</v>
      </c>
      <c r="B3653" s="1" t="str">
        <f ca="1">IFERROR(__xludf.DUMFUNCTION("GOOGLETRANSLATE(A3745,""id"",""en"")"),"I can't use  , you know, it's already registered when it reset the password, the profile is the default")</f>
        <v>I can't use  , you know, it's already registered when it reset the password, the profile is the default</v>
      </c>
    </row>
    <row r="3654" spans="1:2" x14ac:dyDescent="0.2">
      <c r="A3654" s="1" t="s">
        <v>1175</v>
      </c>
      <c r="B3654" s="1" t="str">
        <f ca="1">IFERROR(__xludf.DUMFUNCTION("GOOGLETRANSLATE(A3746,""id"",""en"")"),"Tata Consumer List of Solar Subsidies  Energy Energy EnergyTod")</f>
        <v>Tata Consumer List of Solar Subsidies  Energy Energy EnergyTod</v>
      </c>
    </row>
    <row r="3655" spans="1:2" x14ac:dyDescent="0.2">
      <c r="A3655" s="1" t="s">
        <v>5070</v>
      </c>
      <c r="B3655" s="1" t="str">
        <f ca="1">IFERROR(__xludf.DUMFUNCTION("GOOGLETRANSLATE(A3747,""id"",""en"")"),"NEK NEK APE Tumbas gasoline Iku Kudu Nduwe apk   is detected by the gas station to fill up gasoline")</f>
        <v>NEK NEK APE Tumbas gasoline Iku Kudu Nduwe apk   is detected by the gas station to fill up gasoline</v>
      </c>
    </row>
    <row r="3656" spans="1:2" x14ac:dyDescent="0.2">
      <c r="A3656" s="1" t="s">
        <v>1176</v>
      </c>
      <c r="B3656" s="1" t="str">
        <f ca="1">IFERROR(__xludf.DUMFUNCTION("GOOGLETRANSLATE(A3748,""id"",""en"")"),"Already KTP number complete address hobby urgency  knows")</f>
        <v>Already KTP number complete address hobby urgency  knows</v>
      </c>
    </row>
    <row r="3657" spans="1:2" x14ac:dyDescent="0.2">
      <c r="A3657" s="1" t="s">
        <v>307</v>
      </c>
      <c r="B3657" s="1" t="str">
        <f ca="1">IFERROR(__xludf.DUMFUNCTION("GOOGLETRANSLATE(A3749,""id"",""en"")"),"the provincial stages of the provincial process that choose success")</f>
        <v>the provincial stages of the provincial process that choose success</v>
      </c>
    </row>
    <row r="3658" spans="1:2" x14ac:dyDescent="0.2">
      <c r="A3658" s="1" t="s">
        <v>5071</v>
      </c>
      <c r="B3658" s="1" t="str">
        <f ca="1">IFERROR(__xludf.DUMFUNCTION("GOOGLETRANSLATE(A3750,""id"",""en"")"),"Use the protected guard, using  , buy iki oil, right?")</f>
        <v>Use the protected guard, using  , buy iki oil, right?</v>
      </c>
    </row>
    <row r="3659" spans="1:2" x14ac:dyDescent="0.2">
      <c r="A3659" s="1" t="s">
        <v>5072</v>
      </c>
      <c r="B3659" s="1" t="str">
        <f ca="1">IFERROR(__xludf.DUMFUNCTION("GOOGLETRANSLATE(A3751,""id"",""en"")"),"the headline of using a reading tug")</f>
        <v>the headline of using a reading tug</v>
      </c>
    </row>
    <row r="3660" spans="1:2" x14ac:dyDescent="0.2">
      <c r="A3660" s="1" t="s">
        <v>1177</v>
      </c>
      <c r="B3660" s="1" t="str">
        <f ca="1">IFERROR(__xludf.DUMFUNCTION("GOOGLETRANSLATE(A3752,""id"",""en"")"),"Emg clearly bang aimed at the comment column for the vehicle track not plate with a vehicle to take care")</f>
        <v>Emg clearly bang aimed at the comment column for the vehicle track not plate with a vehicle to take care</v>
      </c>
    </row>
    <row r="3661" spans="1:2" x14ac:dyDescent="0.2">
      <c r="A3661" s="1" t="s">
        <v>2897</v>
      </c>
      <c r="B3661" s="1" t="str">
        <f ca="1">IFERROR(__xludf.DUMFUNCTION("GOOGLETRANSLATE(A3753,""id"",""en"")"),"July therapy provinces buy Pertalite Solar  Tam")</f>
        <v>July therapy provinces buy Pertalite Solar  Tam</v>
      </c>
    </row>
    <row r="3662" spans="1:2" x14ac:dyDescent="0.2">
      <c r="A3662" s="1" t="s">
        <v>5073</v>
      </c>
      <c r="B3662" s="1" t="str">
        <f ca="1">IFERROR(__xludf.DUMFUNCTION("GOOGLETRANSLATE(A3754,""id"",""en"")"),"  is not a function of KTP, the maximum sitting data is stored")</f>
        <v xml:space="preserve">  is not a function of KTP, the maximum sitting data is stored</v>
      </c>
    </row>
    <row r="3663" spans="1:2" x14ac:dyDescent="0.2">
      <c r="A3663" s="1" t="s">
        <v>1178</v>
      </c>
      <c r="B3663" s="1" t="str">
        <f ca="1">IFERROR(__xludf.DUMFUNCTION("GOOGLETRANSLATE(A3755,""id"",""en"")"),"Cool Cokk  Enter Strongest Oil Gas")</f>
        <v>Cool Cokk  Enter Strongest Oil Gas</v>
      </c>
    </row>
    <row r="3664" spans="1:2" x14ac:dyDescent="0.2">
      <c r="A3664" s="1" t="s">
        <v>1179</v>
      </c>
      <c r="B3664" s="1" t="str">
        <f ca="1">IFERROR(__xludf.DUMFUNCTION("GOOGLETRANSLATE(A3756,""id"",""en"")"),"Emotional Functional Benefits of 's Emotional Entering Top Strongest Oil Amp Gas Bra")</f>
        <v>Emotional Functional Benefits of 's Emotional Entering Top Strongest Oil Amp Gas Bra</v>
      </c>
    </row>
    <row r="3665" spans="1:2" x14ac:dyDescent="0.2">
      <c r="A3665" s="1" t="s">
        <v>308</v>
      </c>
      <c r="B3665" s="1" t="str">
        <f ca="1">IFERROR(__xludf.DUMFUNCTION("GOOGLETRANSLATE(A3757,""id"",""en"")"),"Test Phase Gaes Test Trial Let's Succeed by Registering Kendara")</f>
        <v>Test Phase Gaes Test Trial Let's Succeed by Registering Kendara</v>
      </c>
    </row>
    <row r="3666" spans="1:2" x14ac:dyDescent="0.2">
      <c r="A3666" s="1" t="s">
        <v>5074</v>
      </c>
      <c r="B3666" s="1" t="str">
        <f ca="1">IFERROR(__xludf.DUMFUNCTION("GOOGLETRANSLATE(A3758,""id"",""en"")"),"so you have to make a   account if you buy pertalite")</f>
        <v>so you have to make a   account if you buy pertalite</v>
      </c>
    </row>
    <row r="3667" spans="1:2" x14ac:dyDescent="0.2">
      <c r="A3667" s="1" t="s">
        <v>5075</v>
      </c>
      <c r="B3667" s="1" t="str">
        <f ca="1">IFERROR(__xludf.DUMFUNCTION("GOOGLETRANSLATE(A3759,""id"",""en"")"),"Infographic List of Complete  Applications Regarding INEWS RCTI  INFOGROGRAPHY  SOLAR PERTALITE")</f>
        <v>Infographic List of Complete  Applications Regarding INEWS RCTI  INFOGROGRAPHY  SOLAR PERTALITE</v>
      </c>
    </row>
    <row r="3668" spans="1:2" x14ac:dyDescent="0.2">
      <c r="A3668" s="1" t="s">
        <v>1180</v>
      </c>
      <c r="B3668" s="1" t="str">
        <f ca="1">IFERROR(__xludf.DUMFUNCTION("GOOGLETRANSLATE(A3760,""id"",""en"")")," Patra Niaga Testing Pertalite Solar Trial for the List of  Ene")</f>
        <v xml:space="preserve"> Patra Niaga Testing Pertalite Solar Trial for the List of  Ene</v>
      </c>
    </row>
    <row r="3669" spans="1:2" x14ac:dyDescent="0.2">
      <c r="A3669" s="1" t="s">
        <v>309</v>
      </c>
      <c r="B3669" s="1" t="str">
        <f ca="1">IFERROR(__xludf.DUMFUNCTION("GOOGLETRANSLATE(A3761,""id"",""en"")"),"if not a cellphone shouts tai tai or not")</f>
        <v>if not a cellphone shouts tai tai or not</v>
      </c>
    </row>
    <row r="3670" spans="1:2" x14ac:dyDescent="0.2">
      <c r="A3670" s="1" t="s">
        <v>1181</v>
      </c>
      <c r="B3670" s="1" t="str">
        <f ca="1">IFERROR(__xludf.DUMFUNCTION("GOOGLETRANSLATE(A3762,""id"",""en"")"),"if the model is paying for the gin, the pom can also provide gaperlu using the  application must be a list of blablabla features from the banking already, it can be scanned qr what digital pay")</f>
        <v>if the model is paying for the gin, the pom can also provide gaperlu using the  application must be a list of blablabla features from the banking already, it can be scanned qr what digital pay</v>
      </c>
    </row>
    <row r="3671" spans="1:2" x14ac:dyDescent="0.2">
      <c r="A3671" s="1" t="s">
        <v>1182</v>
      </c>
      <c r="B3671" s="1" t="str">
        <f ca="1">IFERROR(__xludf.DUMFUNCTION("GOOGLETRANSLATE(A3763,""id"",""en"")"),"UMKM Successful Gaet Hotel Hotel Central Java DIY BUSINESS RP RP  EnergyToday")</f>
        <v>UMKM Successful Gaet Hotel Hotel Central Java DIY BUSINESS RP RP  EnergyToday</v>
      </c>
    </row>
    <row r="3672" spans="1:2" x14ac:dyDescent="0.2">
      <c r="A3672" s="1" t="s">
        <v>310</v>
      </c>
      <c r="B3672" s="1" t="str">
        <f ca="1">IFERROR(__xludf.DUMFUNCTION("GOOGLETRANSLATE(A3764,""id"",""en"")"),"Meeting Task Force Esc Indonesia Results of the Wise Design of World Energy Transition")</f>
        <v>Meeting Task Force Esc Indonesia Results of the Wise Design of World Energy Transition</v>
      </c>
    </row>
    <row r="3673" spans="1:2" x14ac:dyDescent="0.2">
      <c r="A3673" s="1" t="s">
        <v>1183</v>
      </c>
      <c r="B3673" s="1" t="str">
        <f ca="1">IFERROR(__xludf.DUMFUNCTION("GOOGLETRANSLATE(A3765,""id"",""en"")"),"Cool  Results Reach Brand Rating AAA Standard High Rating Brand Oil Amp Gas")</f>
        <v>Cool  Results Reach Brand Rating AAA Standard High Rating Brand Oil Amp Gas</v>
      </c>
    </row>
    <row r="3674" spans="1:2" x14ac:dyDescent="0.2">
      <c r="A3674" s="1" t="s">
        <v>311</v>
      </c>
      <c r="B3674" s="1" t="str">
        <f ca="1">IFERROR(__xludf.DUMFUNCTION("GOOGLETRANSLATE(A3766,""id"",""en"")"),"Pertagas Group Boyong Six Prices for the CSR Bangun Desa Extract Awards")</f>
        <v>Pertagas Group Boyong Six Prices for the CSR Bangun Desa Extract Awards</v>
      </c>
    </row>
    <row r="3675" spans="1:2" x14ac:dyDescent="0.2">
      <c r="A3675" s="1" t="s">
        <v>1184</v>
      </c>
      <c r="B3675" s="1" t="str">
        <f ca="1">IFERROR(__xludf.DUMFUNCTION("GOOGLETRANSLATE(A3767,""id"",""en"")")," Passed Sanctions Closing Paster gas station  EnergyToday Naughty")</f>
        <v xml:space="preserve"> Passed Sanctions Closing Paster gas station  EnergyToday Naughty</v>
      </c>
    </row>
    <row r="3676" spans="1:2" x14ac:dyDescent="0.2">
      <c r="A3676" s="1" t="s">
        <v>1185</v>
      </c>
      <c r="B3676" s="1" t="str">
        <f ca="1">IFERROR(__xludf.DUMFUNCTION("GOOGLETRANSLATE(A3768,""id"",""en"")"),"PDC Achieves CSR Kembang Desa Advanced PRICE Awards  EnergyToda")</f>
        <v>PDC Achieves CSR Kembang Desa Advanced PRICE Awards  EnergyToda</v>
      </c>
    </row>
    <row r="3677" spans="1:2" x14ac:dyDescent="0.2">
      <c r="A3677" s="1" t="s">
        <v>1186</v>
      </c>
      <c r="B3677" s="1" t="str">
        <f ca="1">IFERROR(__xludf.DUMFUNCTION("GOOGLETRANSLATE(A3769,""id"",""en"")"),"Send greetings to tell the age of independence of Indonesia, the time  is stupid, regulating China, nationalist, good at Tai")</f>
        <v>Send greetings to tell the age of independence of Indonesia, the time  is stupid, regulating China, nationalist, good at Tai</v>
      </c>
    </row>
    <row r="3678" spans="1:2" x14ac:dyDescent="0.2">
      <c r="A3678" s="1" t="s">
        <v>5076</v>
      </c>
      <c r="B3678" s="1" t="str">
        <f ca="1">IFERROR(__xludf.DUMFUNCTION("GOOGLETRANSLATE(A3770,""id"",""en"")"),"If you really buy Pertalite, you have to use the   application,  must provide a free wifi net that sells pertalite if you admit that the little party if you don't provide a wifi net.")</f>
        <v>If you really buy Pertalite, you have to use the   application,  must provide a free wifi net that sells pertalite if you admit that the little party if you don't provide a wifi net.</v>
      </c>
    </row>
    <row r="3679" spans="1:2" x14ac:dyDescent="0.2">
      <c r="A3679" s="1" t="s">
        <v>312</v>
      </c>
      <c r="B3679" s="1" t="str">
        <f ca="1">IFERROR(__xludf.DUMFUNCTION("GOOGLETRANSLATE(A3771,""id"",""en"")"),"looking for adding to the loss of the top application really")</f>
        <v>looking for adding to the loss of the top application really</v>
      </c>
    </row>
    <row r="3680" spans="1:2" x14ac:dyDescent="0.2">
      <c r="A3680" s="1" t="s">
        <v>5077</v>
      </c>
      <c r="B3680" s="1" t="str">
        <f ca="1">IFERROR(__xludf.DUMFUNCTION("GOOGLETRANSLATE(A3772,""id"",""en"")"),"   Adventure")</f>
        <v xml:space="preserve">   Adventure</v>
      </c>
    </row>
    <row r="3681" spans="1:2" x14ac:dyDescent="0.2">
      <c r="A3681" s="1" t="s">
        <v>5078</v>
      </c>
      <c r="B3681" s="1" t="str">
        <f ca="1">IFERROR(__xludf.DUMFUNCTION("GOOGLETRANSLATE(A3773,""id"",""en"")"),"Come download the  application")</f>
        <v>Come download the  application</v>
      </c>
    </row>
    <row r="3682" spans="1:2" x14ac:dyDescent="0.2">
      <c r="A3682" s="1" t="s">
        <v>1187</v>
      </c>
      <c r="B3682" s="1" t="str">
        <f ca="1">IFERROR(__xludf.DUMFUNCTION("GOOGLETRANSLATE(A3774,""id"",""en"")"),"Congratulations  Please  Front Proud Again")</f>
        <v>Congratulations  Please  Front Proud Again</v>
      </c>
    </row>
    <row r="3683" spans="1:2" x14ac:dyDescent="0.2">
      <c r="A3683" s="1" t="s">
        <v>5079</v>
      </c>
      <c r="B3683" s="1" t="str">
        <f ca="1">IFERROR(__xludf.DUMFUNCTION("GOOGLETRANSLATE(A3775,""id"",""en"")")," is obliged to buy BBM Types of Pertalite Solar Subsidies List of  July")</f>
        <v xml:space="preserve"> is obliged to buy BBM Types of Pertalite Solar Subsidies List of  July</v>
      </c>
    </row>
    <row r="3684" spans="1:2" x14ac:dyDescent="0.2">
      <c r="A3684" s="1" t="s">
        <v>1188</v>
      </c>
      <c r="B3684" s="1" t="str">
        <f ca="1">IFERROR(__xludf.DUMFUNCTION("GOOGLETRANSLATE(A3776,""id"",""en"")"),"Buy Pertalite  Consumer List")</f>
        <v>Buy Pertalite  Consumer List</v>
      </c>
    </row>
    <row r="3685" spans="1:2" x14ac:dyDescent="0.2">
      <c r="A3685" s="1" t="s">
        <v>5080</v>
      </c>
      <c r="B3685" s="1" t="str">
        <f ca="1">IFERROR(__xludf.DUMFUNCTION("GOOGLETRANSLATE(A3777,""id"",""en"")")," is obliged to buy BBM Type of Pertalite Solar Subsidies List of  July List Kumparantech")</f>
        <v xml:space="preserve"> is obliged to buy BBM Type of Pertalite Solar Subsidies List of  July List Kumparantech</v>
      </c>
    </row>
    <row r="3686" spans="1:2" x14ac:dyDescent="0.2">
      <c r="A3686" s="1" t="s">
        <v>1189</v>
      </c>
      <c r="B3686" s="1" t="str">
        <f ca="1">IFERROR(__xludf.DUMFUNCTION("GOOGLETRANSLATE(A3778,""id"",""en"")"),"I thought  was the result of the AAA Brand Rating Happy  Proud ")</f>
        <v xml:space="preserve">I thought  was the result of the AAA Brand Rating Happy  Proud </v>
      </c>
    </row>
    <row r="3687" spans="1:2" x14ac:dyDescent="0.2">
      <c r="A3687" s="1" t="s">
        <v>1190</v>
      </c>
      <c r="B3687" s="1" t="str">
        <f ca="1">IFERROR(__xludf.DUMFUNCTION("GOOGLETRANSLATE(A3779,""id"",""en"")")," poster")</f>
        <v xml:space="preserve"> poster</v>
      </c>
    </row>
    <row r="3688" spans="1:2" x14ac:dyDescent="0.2">
      <c r="A3688" s="1" t="s">
        <v>313</v>
      </c>
      <c r="B3688" s="1" t="str">
        <f ca="1">IFERROR(__xludf.DUMFUNCTION("GOOGLETRANSLATE(A3780,""id"",""en"")"),"the country yo really ngene Rakyate deliberately makes it difficult not to be lazy to make the people evil free")</f>
        <v>the country yo really ngene Rakyate deliberately makes it difficult not to be lazy to make the people evil free</v>
      </c>
    </row>
    <row r="3689" spans="1:2" x14ac:dyDescent="0.2">
      <c r="A3689" s="1" t="s">
        <v>1191</v>
      </c>
      <c r="B3689" s="1" t="str">
        <f ca="1">IFERROR(__xludf.DUMFUNCTION("GOOGLETRANSLATE(A3781,""id"",""en"")")," THROUGH  RESULTS BRAND STRENGTH INDEX BSI COOL")</f>
        <v xml:space="preserve"> THROUGH  RESULTS BRAND STRENGTH INDEX BSI COOL</v>
      </c>
    </row>
    <row r="3690" spans="1:2" x14ac:dyDescent="0.2">
      <c r="A3690" s="1" t="s">
        <v>314</v>
      </c>
      <c r="B3690" s="1" t="str">
        <f ca="1">IFERROR(__xludf.DUMFUNCTION("GOOGLETRANSLATE(A3782,""id"",""en"")"),"Pras if the data to buy fuel subsidies Sasar fast practical services SPBU KTP Chip Chip Telkomsel outlets")</f>
        <v>Pras if the data to buy fuel subsidies Sasar fast practical services SPBU KTP Chip Chip Telkomsel outlets</v>
      </c>
    </row>
    <row r="3691" spans="1:2" x14ac:dyDescent="0.2">
      <c r="A3691" s="1" t="s">
        <v>315</v>
      </c>
      <c r="B3691" s="1" t="str">
        <f ca="1">IFERROR(__xludf.DUMFUNCTION("GOOGLETRANSLATE(A3783,""id"",""en"")"),"yup good info, thank you min")</f>
        <v>yup good info, thank you min</v>
      </c>
    </row>
    <row r="3692" spans="1:2" x14ac:dyDescent="0.2">
      <c r="A3692" s="1" t="s">
        <v>1192</v>
      </c>
      <c r="B3692" s="1" t="str">
        <f ca="1">IFERROR(__xludf.DUMFUNCTION("GOOGLETRANSLATE(A3784,""id"",""en"")"),"Great  is the result of ranking the brand version of the brand finance top strongest oil amp gas brand")</f>
        <v>Great  is the result of ranking the brand version of the brand finance top strongest oil amp gas brand</v>
      </c>
    </row>
    <row r="3693" spans="1:2" x14ac:dyDescent="0.2">
      <c r="A3693" s="1" t="s">
        <v>1193</v>
      </c>
      <c r="B3693" s="1" t="str">
        <f ca="1">IFERROR(__xludf.DUMFUNCTION("GOOGLETRANSLATE(A3785,""id"",""en"")"),"Intention to Set Salur BBM Subsidies Not  Makes a System Nge Track Worthy")</f>
        <v>Intention to Set Salur BBM Subsidies Not  Makes a System Nge Track Worthy</v>
      </c>
    </row>
    <row r="3694" spans="1:2" x14ac:dyDescent="0.2">
      <c r="A3694" s="1" t="s">
        <v>1194</v>
      </c>
      <c r="B3694" s="1" t="str">
        <f ca="1">IFERROR(__xludf.DUMFUNCTION("GOOGLETRANSLATE(A3786,""id"",""en"")"),"'s friend, the witness joined the Kebumen Internate competition")</f>
        <v>'s friend, the witness joined the Kebumen Internate competition</v>
      </c>
    </row>
    <row r="3695" spans="1:2" x14ac:dyDescent="0.2">
      <c r="A3695" s="1" t="s">
        <v>316</v>
      </c>
      <c r="B3695" s="1" t="str">
        <f ca="1">IFERROR(__xludf.DUMFUNCTION("GOOGLETRANSLATE(A3787,""id"",""en"")"),"Come on a vehicle list on July, service, buy solar subsidies")</f>
        <v>Come on a vehicle list on July, service, buy solar subsidies</v>
      </c>
    </row>
    <row r="3696" spans="1:2" x14ac:dyDescent="0.2">
      <c r="A3696" s="1" t="s">
        <v>1195</v>
      </c>
      <c r="B3696" s="1" t="str">
        <f ca="1">IFERROR(__xludf.DUMFUNCTION("GOOGLETRANSLATE(A3788,""id"",""en"")")," Results of Top Stongest Oil Amp Gas Brand Place Brand Finance Version")</f>
        <v xml:space="preserve"> Results of Top Stongest Oil Amp Gas Brand Place Brand Finance Version</v>
      </c>
    </row>
    <row r="3697" spans="1:2" x14ac:dyDescent="0.2">
      <c r="A3697" s="1" t="s">
        <v>5045</v>
      </c>
      <c r="B3697" s="1" t="str">
        <f ca="1">IFERROR(__xludf.DUMFUNCTION("GOOGLETRANSLATE(A3789,""id"",""en"")"),"  Pertamax Bright Gas Yuk joined the    GEPANASIK Giveaway")</f>
        <v xml:space="preserve">  Pertamax Bright Gas Yuk joined the    GEPANASIK Giveaway</v>
      </c>
    </row>
    <row r="3698" spans="1:2" x14ac:dyDescent="0.2">
      <c r="A3698" s="1" t="s">
        <v>5081</v>
      </c>
      <c r="B3698" s="1" t="str">
        <f ca="1">IFERROR(__xludf.DUMFUNCTION("GOOGLETRANSLATE(A3790,""id"",""en"")")," 's voice")</f>
        <v xml:space="preserve"> 's voice</v>
      </c>
    </row>
    <row r="3699" spans="1:2" x14ac:dyDescent="0.2">
      <c r="A3699" s="1" t="s">
        <v>1196</v>
      </c>
      <c r="B3699" s="1" t="str">
        <f ca="1">IFERROR(__xludf.DUMFUNCTION("GOOGLETRANSLATE(A3791,""id"",""en"")"),"PLTGU Surveyor  Acade KP Sooonnnn participated in getting a client Baiq, wait FRENS")</f>
        <v>PLTGU Surveyor  Acade KP Sooonnnn participated in getting a client Baiq, wait FRENS</v>
      </c>
    </row>
    <row r="3700" spans="1:2" x14ac:dyDescent="0.2">
      <c r="A3700" s="1" t="s">
        <v>5082</v>
      </c>
      <c r="B3700" s="1" t="str">
        <f ca="1">IFERROR(__xludf.DUMFUNCTION("GOOGLETRANSLATE(A3792,""id"",""en"")"),"serious if the contents of gasoline using  ")</f>
        <v xml:space="preserve">serious if the contents of gasoline using  </v>
      </c>
    </row>
    <row r="3701" spans="1:2" x14ac:dyDescent="0.2">
      <c r="A3701" s="1" t="s">
        <v>317</v>
      </c>
      <c r="B3701" s="1" t="str">
        <f ca="1">IFERROR(__xludf.DUMFUNCTION("GOOGLETRANSLATE(A3793,""id"",""en"")"),"Forward Indonesian people to buy items need the main using cooking oil application using PE")</f>
        <v>Forward Indonesian people to buy items need the main using cooking oil application using PE</v>
      </c>
    </row>
    <row r="3702" spans="1:2" x14ac:dyDescent="0.2">
      <c r="A3702" s="1" t="s">
        <v>1197</v>
      </c>
      <c r="B3702" s="1" t="str">
        <f ca="1">IFERROR(__xludf.DUMFUNCTION("GOOGLETRANSLATE(A3794,""id"",""en"")")," is proud of work performance")</f>
        <v xml:space="preserve"> is proud of work performance</v>
      </c>
    </row>
    <row r="3703" spans="1:2" x14ac:dyDescent="0.2">
      <c r="A3703" s="1" t="s">
        <v>5083</v>
      </c>
      <c r="B3703" s="1" t="str">
        <f ca="1">IFERROR(__xludf.DUMFUNCTION("GOOGLETRANSLATE(A3795,""id"",""en"")"),"Asyiiik fortunately  if for  nunggu point gathering")</f>
        <v>Asyiiik fortunately  if for  nunggu point gathering</v>
      </c>
    </row>
    <row r="3704" spans="1:2" x14ac:dyDescent="0.2">
      <c r="A3704" s="1" t="s">
        <v>1198</v>
      </c>
      <c r="B3704" s="1" t="str">
        <f ca="1">IFERROR(__xludf.DUMFUNCTION("GOOGLETRANSLATE(A3796,""id"",""en"")"),"Buy cooking oil using the KTP protection care using your KTP, buying debt, it's complicated, I have to buy  using the application, org, haha, hihi, buy a branded corden")</f>
        <v>Buy cooking oil using the KTP protection care using your KTP, buying debt, it's complicated, I have to buy  using the application, org, haha, hihi, buy a branded corden</v>
      </c>
    </row>
    <row r="3705" spans="1:2" x14ac:dyDescent="0.2">
      <c r="A3705" s="1" t="s">
        <v>1199</v>
      </c>
      <c r="B3705" s="1" t="str">
        <f ca="1">IFERROR(__xludf.DUMFUNCTION("GOOGLETRANSLATE(A3797,""id"",""en"")")," brand Strong view of Emotional Functional Benefits")</f>
        <v xml:space="preserve"> brand Strong view of Emotional Functional Benefits</v>
      </c>
    </row>
    <row r="3706" spans="1:2" x14ac:dyDescent="0.2">
      <c r="A3706" s="1" t="s">
        <v>1200</v>
      </c>
      <c r="B3706" s="1" t="str">
        <f ca="1">IFERROR(__xludf.DUMFUNCTION("GOOGLETRANSLATE(A3798,""id"",""en"")"),"July  Patra Niaga Paksi Trial")</f>
        <v>July  Patra Niaga Paksi Trial</v>
      </c>
    </row>
    <row r="3707" spans="1:2" x14ac:dyDescent="0.2">
      <c r="A3707" s="1" t="s">
        <v>5084</v>
      </c>
      <c r="B3707" s="1" t="str">
        <f ca="1">IFERROR(__xludf.DUMFUNCTION("GOOGLETRANSLATE(A3799,""id"",""en"")"),"Boro Boro   Sometimes Pom can not pay for the cashless card now, making the ckckck application")</f>
        <v>Boro Boro   Sometimes Pom can not pay for the cashless card now, making the ckckck application</v>
      </c>
    </row>
    <row r="3708" spans="1:2" x14ac:dyDescent="0.2">
      <c r="A3708" s="1" t="s">
        <v>1201</v>
      </c>
      <c r="B3708" s="1" t="str">
        <f ca="1">IFERROR(__xludf.DUMFUNCTION("GOOGLETRANSLATE(A3800,""id"",""en"")"),"Indonesian people are proud of  to sell well")</f>
        <v>Indonesian people are proud of  to sell well</v>
      </c>
    </row>
    <row r="3709" spans="1:2" x14ac:dyDescent="0.2">
      <c r="A3709" s="1" t="s">
        <v>318</v>
      </c>
      <c r="B3709" s="1" t="str">
        <f ca="1">IFERROR(__xludf.DUMFUNCTION("GOOGLETRANSLATE(A3801,""id"",""en"")"),"Oi")</f>
        <v>Oi</v>
      </c>
    </row>
    <row r="3710" spans="1:2" x14ac:dyDescent="0.2">
      <c r="A3710" s="1" t="s">
        <v>1202</v>
      </c>
      <c r="B3710" s="1" t="str">
        <f ca="1">IFERROR(__xludf.DUMFUNCTION("GOOGLETRANSLATE(A3802,""id"",""en"")"),"Cool  The results of the entrance to the top strongest oil amp gas brand rank")</f>
        <v>Cool  The results of the entrance to the top strongest oil amp gas brand rank</v>
      </c>
    </row>
    <row r="3711" spans="1:2" x14ac:dyDescent="0.2">
      <c r="A3711" s="1" t="s">
        <v>1050</v>
      </c>
      <c r="B3711" s="1" t="str">
        <f ca="1">IFERROR(__xludf.DUMFUNCTION("GOOGLETRANSLATE(A3803,""id"",""en"")"),"PRANK  LOOK HP SPBU WKWKWK")</f>
        <v>PRANK  LOOK HP SPBU WKWKWK</v>
      </c>
    </row>
    <row r="3712" spans="1:2" x14ac:dyDescent="0.2">
      <c r="A3712" s="1" t="s">
        <v>319</v>
      </c>
      <c r="B3712" s="1" t="str">
        <f ca="1">IFERROR(__xludf.DUMFUNCTION("GOOGLETRANSLATE(A3804,""id"",""en"")"),"complicated easy list of vehicles")</f>
        <v>complicated easy list of vehicles</v>
      </c>
    </row>
    <row r="3713" spans="1:2" x14ac:dyDescent="0.2">
      <c r="A3713" s="1" t="s">
        <v>320</v>
      </c>
      <c r="B3713" s="1" t="str">
        <f ca="1">IFERROR(__xludf.DUMFUNCTION("GOOGLETRANSLATE(A3805,""id"",""en"")"),"Otimatic Filter Let's Succeed")</f>
        <v>Otimatic Filter Let's Succeed</v>
      </c>
    </row>
    <row r="3714" spans="1:2" x14ac:dyDescent="0.2">
      <c r="A3714" s="1" t="s">
        <v>1203</v>
      </c>
      <c r="B3714" s="1" t="str">
        <f ca="1">IFERROR(__xludf.DUMFUNCTION("GOOGLETRANSLATE(A3806,""id"",""en"")"),"ahead of the contents of the gasoline using  apps")</f>
        <v>ahead of the contents of the gasoline using  apps</v>
      </c>
    </row>
    <row r="3715" spans="1:2" x14ac:dyDescent="0.2">
      <c r="A3715" s="1" t="s">
        <v>1204</v>
      </c>
      <c r="B3715" s="1" t="str">
        <f ca="1">IFERROR(__xludf.DUMFUNCTION("GOOGLETRANSLATE(A3807,""id"",""en"")"),"achieve the results of  wishing front")</f>
        <v>achieve the results of  wishing front</v>
      </c>
    </row>
    <row r="3716" spans="1:2" x14ac:dyDescent="0.2">
      <c r="A3716" s="1" t="s">
        <v>5085</v>
      </c>
      <c r="B3716" s="1" t="str">
        <f ca="1">IFERROR(__xludf.DUMFUNCTION("GOOGLETRANSLATE(A3808,""id"",""en"")"),"  is not friendly old")</f>
        <v xml:space="preserve">  is not friendly old</v>
      </c>
    </row>
    <row r="3717" spans="1:2" x14ac:dyDescent="0.2">
      <c r="A3717" s="1" t="s">
        <v>1205</v>
      </c>
      <c r="B3717" s="1" t="str">
        <f ca="1">IFERROR(__xludf.DUMFUNCTION("GOOGLETRANSLATE(A3809,""id"",""en"")"),"sad state to manage amateur an arbitrary logical  Dangers do not reject the community to be silent if the agency makes it difficult to be difficult to karepe dewe")</f>
        <v>sad state to manage amateur an arbitrary logical  Dangers do not reject the community to be silent if the agency makes it difficult to be difficult to karepe dewe</v>
      </c>
    </row>
    <row r="3718" spans="1:2" x14ac:dyDescent="0.2">
      <c r="A3718" s="1" t="s">
        <v>1206</v>
      </c>
      <c r="B3718" s="1" t="str">
        <f ca="1">IFERROR(__xludf.DUMFUNCTION("GOOGLETRANSLATE(A3810,""id"",""en"")")," Strategy to Prevent Leaks of Salur BBM Subsidized Solutions To build a solution to build")</f>
        <v xml:space="preserve"> Strategy to Prevent Leaks of Salur BBM Subsidized Solutions To build a solution to build</v>
      </c>
    </row>
    <row r="3719" spans="1:2" x14ac:dyDescent="0.2">
      <c r="A3719" s="1" t="s">
        <v>1207</v>
      </c>
      <c r="B3719" s="1" t="str">
        <f ca="1">IFERROR(__xludf.DUMFUNCTION("GOOGLETRANSLATE(A3811,""id"",""en"")"),"Damn ")</f>
        <v xml:space="preserve">Damn </v>
      </c>
    </row>
    <row r="3720" spans="1:2" x14ac:dyDescent="0.2">
      <c r="A3720" s="1" t="s">
        <v>1206</v>
      </c>
      <c r="B3720" s="1" t="str">
        <f ca="1">IFERROR(__xludf.DUMFUNCTION("GOOGLETRANSLATE(A3812,""id"",""en"")")," Strategy to Prevent Leaks of Salur BBM Subsidized Solutions To build a solution to build")</f>
        <v xml:space="preserve"> Strategy to Prevent Leaks of Salur BBM Subsidized Solutions To build a solution to build</v>
      </c>
    </row>
    <row r="3721" spans="1:2" x14ac:dyDescent="0.2">
      <c r="A3721" s="1" t="s">
        <v>321</v>
      </c>
      <c r="B3721" s="1" t="str">
        <f ca="1">IFERROR(__xludf.DUMFUNCTION("GOOGLETRANSLATE(A3813,""id"",""en"")"),"Bring Sndiined Tower Bang")</f>
        <v>Bring Sndiined Tower Bang</v>
      </c>
    </row>
    <row r="3722" spans="1:2" x14ac:dyDescent="0.2">
      <c r="A3722" s="1" t="s">
        <v>322</v>
      </c>
      <c r="B3722" s="1" t="str">
        <f ca="1">IFERROR(__xludf.DUMFUNCTION("GOOGLETRANSLATE(A3814,""id"",""en"")"),"Yes, the BBM Society of Subsidies that are Solid Rights")</f>
        <v>Yes, the BBM Society of Subsidies that are Solid Rights</v>
      </c>
    </row>
    <row r="3723" spans="1:2" x14ac:dyDescent="0.2">
      <c r="A3723" s="1" t="s">
        <v>323</v>
      </c>
      <c r="B3723" s="1" t="str">
        <f ca="1">IFERROR(__xludf.DUMFUNCTION("GOOGLETRANSLATE(A3815,""id"",""en"")"),"tiati later hit by the gas gas station, you know")</f>
        <v>tiati later hit by the gas gas station, you know</v>
      </c>
    </row>
    <row r="3724" spans="1:2" x14ac:dyDescent="0.2">
      <c r="A3724" s="1" t="s">
        <v>5086</v>
      </c>
      <c r="B3724" s="1" t="str">
        <f ca="1">IFERROR(__xludf.DUMFUNCTION("GOOGLETRANSLATE(A3816,""id"",""en"")"),"after uninstalling ndoro because not bargaining gas stations must be   error")</f>
        <v>after uninstalling ndoro because not bargaining gas stations must be   error</v>
      </c>
    </row>
    <row r="3725" spans="1:2" x14ac:dyDescent="0.2">
      <c r="A3725" s="1" t="s">
        <v>1208</v>
      </c>
      <c r="B3725" s="1" t="str">
        <f ca="1">IFERROR(__xludf.DUMFUNCTION("GOOGLETRANSLATE(A3817,""id"",""en"")")," class please help subordinates")</f>
        <v xml:space="preserve"> class please help subordinates</v>
      </c>
    </row>
    <row r="3726" spans="1:2" x14ac:dyDescent="0.2">
      <c r="A3726" s="1" t="s">
        <v>1209</v>
      </c>
      <c r="B3726" s="1" t="str">
        <f ca="1">IFERROR(__xludf.DUMFUNCTION("GOOGLETRANSLATE(A3818,""id"",""en"")"),"Mba, don't let the bank  say that it's complicated, one of the drivers who need to work quickly, the cellphone doesn't support the download apps")</f>
        <v>Mba, don't let the bank  say that it's complicated, one of the drivers who need to work quickly, the cellphone doesn't support the download apps</v>
      </c>
    </row>
    <row r="3727" spans="1:2" x14ac:dyDescent="0.2">
      <c r="A3727" s="1" t="s">
        <v>1210</v>
      </c>
      <c r="B3727" s="1" t="str">
        <f ca="1">IFERROR(__xludf.DUMFUNCTION("GOOGLETRANSLATE(A3819,""id"",""en"")"),"PT  Patra Niaga Opens the process of buying a fuel list of Pertalite Solar July")</f>
        <v>PT  Patra Niaga Opens the process of buying a fuel list of Pertalite Solar July</v>
      </c>
    </row>
    <row r="3728" spans="1:2" x14ac:dyDescent="0.2">
      <c r="A3728" s="1" t="s">
        <v>1211</v>
      </c>
      <c r="B3728" s="1" t="str">
        <f ca="1">IFERROR(__xludf.DUMFUNCTION("GOOGLETRANSLATE(A3820,""id"",""en"")"),"the country here is difficult to set the residents not thinking about using logic yesterday  flip -flops tomorrow is sad to see the command here the people are difficult")</f>
        <v>the country here is difficult to set the residents not thinking about using logic yesterday  flip -flops tomorrow is sad to see the command here the people are difficult</v>
      </c>
    </row>
    <row r="3729" spans="1:2" x14ac:dyDescent="0.2">
      <c r="A3729" s="1" t="s">
        <v>5087</v>
      </c>
      <c r="B3729" s="1" t="str">
        <f ca="1">IFERROR(__xludf.DUMFUNCTION("GOOGLETRANSLATE(A3821,""id"",""en"")"),"I just used   the promo requirements are pretty much cut")</f>
        <v>I just used   the promo requirements are pretty much cut</v>
      </c>
    </row>
    <row r="3730" spans="1:2" x14ac:dyDescent="0.2">
      <c r="A3730" s="1" t="s">
        <v>324</v>
      </c>
      <c r="B3730" s="1" t="str">
        <f ca="1">IFERROR(__xludf.DUMFUNCTION("GOOGLETRANSLATE(A3822,""id"",""en"")"),"July Test Guest")</f>
        <v>July Test Guest</v>
      </c>
    </row>
    <row r="3731" spans="1:2" x14ac:dyDescent="0.2">
      <c r="A3731" s="1" t="s">
        <v>325</v>
      </c>
      <c r="B3731" s="1" t="str">
        <f ca="1">IFERROR(__xludf.DUMFUNCTION("GOOGLETRANSLATE(A3823,""id"",""en"")"),"wooooii juancoookkkk ntr the motorbike is letup bangke bangke bangke makes it easy to bother")</f>
        <v>wooooii juancoookkkk ntr the motorbike is letup bangke bangke bangke makes it easy to bother</v>
      </c>
    </row>
    <row r="3732" spans="1:2" x14ac:dyDescent="0.2">
      <c r="A3732" s="1" t="s">
        <v>5088</v>
      </c>
      <c r="B3732" s="1" t="str">
        <f ca="1">IFERROR(__xludf.DUMFUNCTION("GOOGLETRANSLATE(A3824,""id"",""en"")"),"use    price is just if it's not to be better")</f>
        <v>use    price is just if it's not to be better</v>
      </c>
    </row>
    <row r="3733" spans="1:2" x14ac:dyDescent="0.2">
      <c r="A3733" s="1" t="s">
        <v>326</v>
      </c>
      <c r="B3733" s="1" t="str">
        <f ca="1">IFERROR(__xludf.DUMFUNCTION("GOOGLETRANSLATE(A3825,""id"",""en"")"),"if the people's representatives are silent, I swear infertile")</f>
        <v>if the people's representatives are silent, I swear infertile</v>
      </c>
    </row>
    <row r="3734" spans="1:2" x14ac:dyDescent="0.2">
      <c r="A3734" s="1" t="s">
        <v>327</v>
      </c>
      <c r="B3734" s="1" t="str">
        <f ca="1">IFERROR(__xludf.DUMFUNCTION("GOOGLETRANSLATE(A3826,""id"",""en"")"),"Gas List of Kendara")</f>
        <v>Gas List of Kendara</v>
      </c>
    </row>
    <row r="3735" spans="1:2" x14ac:dyDescent="0.2">
      <c r="A3735" s="1" t="s">
        <v>328</v>
      </c>
      <c r="B3735" s="1" t="str">
        <f ca="1">IFERROR(__xludf.DUMFUNCTION("GOOGLETRANSLATE(A3827,""id"",""en"")"),"Mas Tri Gold Opportunities Transformation of Green Energy Mining Energy with Ino")</f>
        <v>Mas Tri Gold Opportunities Transformation of Green Energy Mining Energy with Ino</v>
      </c>
    </row>
    <row r="3736" spans="1:2" x14ac:dyDescent="0.2">
      <c r="A3736" s="1" t="s">
        <v>1212</v>
      </c>
      <c r="B3736" s="1" t="str">
        <f ca="1">IFERROR(__xludf.DUMFUNCTION("GOOGLETRANSLATE(A3828,""id"",""en"")")," Efforts to Saying both Langgan Community")</f>
        <v xml:space="preserve"> Efforts to Saying both Langgan Community</v>
      </c>
    </row>
    <row r="3737" spans="1:2" x14ac:dyDescent="0.2">
      <c r="A3737" s="1" t="s">
        <v>329</v>
      </c>
      <c r="B3737" s="1" t="str">
        <f ca="1">IFERROR(__xludf.DUMFUNCTION("GOOGLETRANSLATE(A3829,""id"",""en"")"),"Come on, friends who from the province are successful")</f>
        <v>Come on, friends who from the province are successful</v>
      </c>
    </row>
    <row r="3738" spans="1:2" x14ac:dyDescent="0.2">
      <c r="A3738" s="1" t="s">
        <v>5089</v>
      </c>
      <c r="B3738" s="1" t="str">
        <f ca="1">IFERROR(__xludf.DUMFUNCTION("GOOGLETRANSLATE(A3830,""id"",""en"")"),"  Pertamax Bright Gas")</f>
        <v xml:space="preserve">  Pertamax Bright Gas</v>
      </c>
    </row>
    <row r="3739" spans="1:2" x14ac:dyDescent="0.2">
      <c r="A3739" s="1" t="s">
        <v>4919</v>
      </c>
      <c r="B3739" s="1" t="str">
        <f ca="1">IFERROR(__xludf.DUMFUNCTION("GOOGLETRANSLATE(A3831,""id"",""en"")"),"Come download ")</f>
        <v xml:space="preserve">Come download </v>
      </c>
    </row>
    <row r="3740" spans="1:2" x14ac:dyDescent="0.2">
      <c r="A3740" s="1" t="s">
        <v>330</v>
      </c>
      <c r="B3740" s="1" t="str">
        <f ca="1">IFERROR(__xludf.DUMFUNCTION("GOOGLETRANSLATE(A3832,""id"",""en"")"),"seriously")</f>
        <v>seriously</v>
      </c>
    </row>
    <row r="3741" spans="1:2" x14ac:dyDescent="0.2">
      <c r="A3741" s="1" t="s">
        <v>5090</v>
      </c>
      <c r="B3741" s="1" t="str">
        <f ca="1">IFERROR(__xludf.DUMFUNCTION("GOOGLETRANSLATE(A3833,""id"",""en"")")," trialing the   July application to build it")</f>
        <v xml:space="preserve"> trialing the   July application to build it</v>
      </c>
    </row>
    <row r="3742" spans="1:2" x14ac:dyDescent="0.2">
      <c r="A3742" s="1" t="s">
        <v>1213</v>
      </c>
      <c r="B3742" s="1" t="str">
        <f ca="1">IFERROR(__xludf.DUMFUNCTION("GOOGLETRANSLATE(A3834,""id"",""en"")"),"'s good consistency commitment salute")</f>
        <v>'s good consistency commitment salute</v>
      </c>
    </row>
    <row r="3743" spans="1:2" x14ac:dyDescent="0.2">
      <c r="A3743" s="1" t="s">
        <v>1214</v>
      </c>
      <c r="B3743" s="1" t="str">
        <f ca="1">IFERROR(__xludf.DUMFUNCTION("GOOGLETRANSLATE(A3835,""id"",""en"")"),"BBM Subsidies Salang  Spirit")</f>
        <v>BBM Subsidies Salang  Spirit</v>
      </c>
    </row>
    <row r="3744" spans="1:2" x14ac:dyDescent="0.2">
      <c r="A3744" s="1" t="s">
        <v>1215</v>
      </c>
      <c r="B3744" s="1" t="str">
        <f ca="1">IFERROR(__xludf.DUMFUNCTION("GOOGLETRANSLATE(A3836,""id"",""en"")"),"PT  Adjust to Buy Pertalite Solar Public Buy Subsidized Fuel WA")</f>
        <v>PT  Adjust to Buy Pertalite Solar Public Buy Subsidized Fuel WA</v>
      </c>
    </row>
    <row r="3745" spans="1:2" x14ac:dyDescent="0.2">
      <c r="A3745" s="1" t="s">
        <v>331</v>
      </c>
      <c r="B3745" s="1" t="str">
        <f ca="1">IFERROR(__xludf.DUMFUNCTION("GOOGLETRANSLATE(A3837,""id"",""en"")"),"TATE LIST JULY YES")</f>
        <v>TATE LIST JULY YES</v>
      </c>
    </row>
    <row r="3746" spans="1:2" x14ac:dyDescent="0.2">
      <c r="A3746" s="1" t="s">
        <v>1216</v>
      </c>
      <c r="B3746" s="1" t="str">
        <f ca="1">IFERROR(__xludf.DUMFUNCTION("GOOGLETRANSLATE(A3838,""id"",""en"")"),"Lipi told me to face Ms. Dian Hapsari Unit Manager Comunication AMP CSR  so that the debate is true so that it doesn't play fire ehh")</f>
        <v>Lipi told me to face Ms. Dian Hapsari Unit Manager Comunication AMP CSR  so that the debate is true so that it doesn't play fire ehh</v>
      </c>
    </row>
    <row r="3747" spans="1:2" x14ac:dyDescent="0.2">
      <c r="A3747" s="1" t="s">
        <v>5091</v>
      </c>
      <c r="B3747" s="1" t="str">
        <f ca="1">IFERROR(__xludf.DUMFUNCTION("GOOGLETRANSLATE(A3839,""id"",""en"")"),"only OOT  obediently mahzab complicated commands are not easy to be practical to be honest  want to overhaul")</f>
        <v>only OOT  obediently mahzab complicated commands are not easy to be practical to be honest  want to overhaul</v>
      </c>
    </row>
    <row r="3748" spans="1:2" x14ac:dyDescent="0.2">
      <c r="A3748" s="1" t="s">
        <v>5092</v>
      </c>
      <c r="B3748" s="1" t="str">
        <f ca="1">IFERROR(__xludf.DUMFUNCTION("GOOGLETRANSLATE(A3840,""id"",""en"")"),"it is true that the rich rich are the poor who are difficult to use   high school")</f>
        <v>it is true that the rich rich are the poor who are difficult to use   high school</v>
      </c>
    </row>
    <row r="3749" spans="1:2" x14ac:dyDescent="0.2">
      <c r="A3749" s="1" t="s">
        <v>1217</v>
      </c>
      <c r="B3749" s="1" t="str">
        <f ca="1">IFERROR(__xludf.DUMFUNCTION("GOOGLETRANSLATE(A3841,""id"",""en"")")," Komut Taik Luh")</f>
        <v xml:space="preserve"> Komut Taik Luh</v>
      </c>
    </row>
    <row r="3750" spans="1:2" x14ac:dyDescent="0.2">
      <c r="A3750" s="1" t="s">
        <v>5093</v>
      </c>
      <c r="B3750" s="1" t="str">
        <f ca="1">IFERROR(__xludf.DUMFUNCTION("GOOGLETRANSLATE(A3842,""id"",""en"")"),"prohibit active cellphones from open  app.")</f>
        <v>prohibit active cellphones from open  app.</v>
      </c>
    </row>
    <row r="3751" spans="1:2" x14ac:dyDescent="0.2">
      <c r="A3751" s="1" t="s">
        <v>332</v>
      </c>
      <c r="B3751" s="1" t="str">
        <f ca="1">IFERROR(__xludf.DUMFUNCTION("GOOGLETRANSLATE(A3843,""id"",""en"")"),"July guest")</f>
        <v>July guest</v>
      </c>
    </row>
    <row r="3752" spans="1:2" x14ac:dyDescent="0.2">
      <c r="A3752" s="1" t="s">
        <v>333</v>
      </c>
      <c r="B3752" s="1" t="str">
        <f ca="1">IFERROR(__xludf.DUMFUNCTION("GOOGLETRANSLATE(A3844,""id"",""en"")"),"if the gas station is mleduk pretending to be stupid")</f>
        <v>if the gas station is mleduk pretending to be stupid</v>
      </c>
    </row>
    <row r="3753" spans="1:2" x14ac:dyDescent="0.2">
      <c r="A3753" s="1" t="s">
        <v>1218</v>
      </c>
      <c r="B3753" s="1" t="str">
        <f ca="1">IFERROR(__xludf.DUMFUNCTION("GOOGLETRANSLATE(A3845,""id"",""en"")"),"'s hard work gets prices")</f>
        <v>'s hard work gets prices</v>
      </c>
    </row>
    <row r="3754" spans="1:2" x14ac:dyDescent="0.2">
      <c r="A3754" s="1" t="s">
        <v>5094</v>
      </c>
      <c r="B3754" s="1" t="str">
        <f ca="1">IFERROR(__xludf.DUMFUNCTION("GOOGLETRANSLATE(A3846,""id"",""en"")"),"The incident of burnt who is wrong, om here will be forced to be crazy, om, bought a migor to care about the protection of fuel,   who can't work, eh the people are forced")</f>
        <v>The incident of burnt who is wrong, om here will be forced to be crazy, om, bought a migor to care about the protection of fuel,   who can't work, eh the people are forced</v>
      </c>
    </row>
    <row r="3755" spans="1:2" x14ac:dyDescent="0.2">
      <c r="A3755" s="1" t="s">
        <v>334</v>
      </c>
      <c r="B3755" s="1" t="str">
        <f ca="1">IFERROR(__xludf.DUMFUNCTION("GOOGLETRANSLATE(A3847,""id"",""en"")"),"Read Read Read")</f>
        <v>Read Read Read</v>
      </c>
    </row>
    <row r="3756" spans="1:2" x14ac:dyDescent="0.2">
      <c r="A3756" s="1" t="s">
        <v>335</v>
      </c>
      <c r="B3756" s="1" t="str">
        <f ca="1">IFERROR(__xludf.DUMFUNCTION("GOOGLETRANSLATE(A3848,""id"",""en"")"),"no")</f>
        <v>no</v>
      </c>
    </row>
    <row r="3757" spans="1:2" x14ac:dyDescent="0.2">
      <c r="A3757" s="1" t="s">
        <v>336</v>
      </c>
      <c r="B3757" s="1" t="str">
        <f ca="1">IFERROR(__xludf.DUMFUNCTION("GOOGLETRANSLATE(A3849,""id"",""en"")"),"let's list of favorable subsidies")</f>
        <v>let's list of favorable subsidies</v>
      </c>
    </row>
    <row r="3758" spans="1:2" x14ac:dyDescent="0.2">
      <c r="A3758" s="1" t="s">
        <v>5095</v>
      </c>
      <c r="B3758" s="1" t="str">
        <f ca="1">IFERROR(__xludf.DUMFUNCTION("GOOGLETRANSLATE(A3850,""id"",""en"")"),"must be ready for the list of ")</f>
        <v xml:space="preserve">must be ready for the list of </v>
      </c>
    </row>
    <row r="3759" spans="1:2" x14ac:dyDescent="0.2">
      <c r="A3759" s="1" t="s">
        <v>5096</v>
      </c>
      <c r="B3759" s="1" t="str">
        <f ca="1">IFERROR(__xludf.DUMFUNCTION("GOOGLETRANSLATE(A3851,""id"",""en"")"),"'s plan for the limit of buying fuel subsidy type of solar pertalite with the application  polemic")</f>
        <v>'s plan for the limit of buying fuel subsidy type of solar pertalite with the application  polemic</v>
      </c>
    </row>
    <row r="3760" spans="1:2" x14ac:dyDescent="0.2">
      <c r="A3760" s="1" t="s">
        <v>337</v>
      </c>
      <c r="B3760" s="1" t="str">
        <f ca="1">IFERROR(__xludf.DUMFUNCTION("GOOGLETRANSLATE(A3852,""id"",""en"")"),"Custumer Pertalite People's Representatives Finding the Acute Hearing Stage")</f>
        <v>Custumer Pertalite People's Representatives Finding the Acute Hearing Stage</v>
      </c>
    </row>
    <row r="3761" spans="1:2" x14ac:dyDescent="0.2">
      <c r="A3761" s="1" t="s">
        <v>5097</v>
      </c>
      <c r="B3761" s="1" t="str">
        <f ca="1">IFERROR(__xludf.DUMFUNCTION("GOOGLETRANSLATE(A3853,""id"",""en"")"),"here quickly download the  application")</f>
        <v>here quickly download the  application</v>
      </c>
    </row>
    <row r="3762" spans="1:2" x14ac:dyDescent="0.2">
      <c r="A3762" s="1" t="s">
        <v>338</v>
      </c>
      <c r="B3762" s="1" t="str">
        <f ca="1">IFERROR(__xludf.DUMFUNCTION("GOOGLETRANSLATE(A3854,""id"",""en"")"),"The one who is BUMN for green energy with the cooperation of the Persero Energy Saver Li")</f>
        <v>The one who is BUMN for green energy with the cooperation of the Persero Energy Saver Li</v>
      </c>
    </row>
    <row r="3763" spans="1:2" x14ac:dyDescent="0.2">
      <c r="A3763" s="1" t="s">
        <v>1219</v>
      </c>
      <c r="B3763" s="1" t="str">
        <f ca="1">IFERROR(__xludf.DUMFUNCTION("GOOGLETRANSLATE(A3855,""id"",""en"")"),"see this clear ")</f>
        <v xml:space="preserve">see this clear </v>
      </c>
    </row>
    <row r="3764" spans="1:2" x14ac:dyDescent="0.2">
      <c r="A3764" s="1" t="s">
        <v>339</v>
      </c>
      <c r="B3764" s="1" t="str">
        <f ca="1">IFERROR(__xludf.DUMFUNCTION("GOOGLETRANSLATE(A3856,""id"",""en"")"),"To prohibit the contents of the BBM now, open the regional cellphone application, the cellular signal is not right, just pay attention")</f>
        <v>To prohibit the contents of the BBM now, open the regional cellphone application, the cellular signal is not right, just pay attention</v>
      </c>
    </row>
    <row r="3765" spans="1:2" x14ac:dyDescent="0.2">
      <c r="A3765" s="1" t="s">
        <v>1220</v>
      </c>
      <c r="B3765" s="1" t="str">
        <f ca="1">IFERROR(__xludf.DUMFUNCTION("GOOGLETRANSLATE(A3857,""id"",""en"")")," Seriously Salur BBM Subsidized Sasar")</f>
        <v xml:space="preserve"> Seriously Salur BBM Subsidized Sasar</v>
      </c>
    </row>
    <row r="3766" spans="1:2" x14ac:dyDescent="0.2">
      <c r="A3766" s="1" t="s">
        <v>5098</v>
      </c>
      <c r="B3766" s="1" t="str">
        <f ca="1">IFERROR(__xludf.DUMFUNCTION("GOOGLETRANSLATE(A3858,""id"",""en"")"),"Alas  The  Application Buy Bbm Salur Space Subsidies")</f>
        <v>Alas  The  Application Buy Bbm Salur Space Subsidies</v>
      </c>
    </row>
    <row r="3767" spans="1:2" x14ac:dyDescent="0.2">
      <c r="A3767" s="1" t="s">
        <v>1221</v>
      </c>
      <c r="B3767" s="1" t="str">
        <f ca="1">IFERROR(__xludf.DUMFUNCTION("GOOGLETRANSLATE(A3859,""id"",""en"")"),"Drinking BBM Subsidies must use a reasonable application that subsidized the Sultan of the Sultan with the commissioners of the thumb of ")</f>
        <v xml:space="preserve">Drinking BBM Subsidies must use a reasonable application that subsidized the Sultan of the Sultan with the commissioners of the thumb of </v>
      </c>
    </row>
    <row r="3768" spans="1:2" x14ac:dyDescent="0.2">
      <c r="A3768" s="1" t="s">
        <v>5099</v>
      </c>
      <c r="B3768" s="1" t="str">
        <f ca="1">IFERROR(__xludf.DUMFUNCTION("GOOGLETRANSLATE(A3860,""id"",""en"")"),"use   if you buy gasoline using jirigen")</f>
        <v>use   if you buy gasoline using jirigen</v>
      </c>
    </row>
    <row r="3769" spans="1:2" x14ac:dyDescent="0.2">
      <c r="A3769" s="1" t="s">
        <v>340</v>
      </c>
      <c r="B3769" s="1" t="str">
        <f ca="1">IFERROR(__xludf.DUMFUNCTION("GOOGLETRANSLATE(A3861,""id"",""en"")"),"Really complicated")</f>
        <v>Really complicated</v>
      </c>
    </row>
    <row r="3770" spans="1:2" x14ac:dyDescent="0.2">
      <c r="A3770" s="1" t="s">
        <v>1222</v>
      </c>
      <c r="B3770" s="1" t="str">
        <f ca="1">IFERROR(__xludf.DUMFUNCTION("GOOGLETRANSLATE(A3862,""id"",""en"")")," GREEN PERSTANCE EBT SOLUTION To build a solution to build")</f>
        <v xml:space="preserve"> GREEN PERSTANCE EBT SOLUTION To build a solution to build</v>
      </c>
    </row>
    <row r="3771" spans="1:2" x14ac:dyDescent="0.2">
      <c r="A3771" s="1" t="s">
        <v>341</v>
      </c>
      <c r="B3771" s="1" t="str">
        <f ca="1">IFERROR(__xludf.DUMFUNCTION("GOOGLETRANSLATE(A3863,""id"",""en"")"),"Indonesia's proud achievement")</f>
        <v>Indonesia's proud achievement</v>
      </c>
    </row>
    <row r="3772" spans="1:2" x14ac:dyDescent="0.2">
      <c r="A3772" s="1" t="s">
        <v>1222</v>
      </c>
      <c r="B3772" s="1" t="str">
        <f ca="1">IFERROR(__xludf.DUMFUNCTION("GOOGLETRANSLATE(A3864,""id"",""en"")")," GREEN PERSTANCE EBT SOLUTION To build a solution to build")</f>
        <v xml:space="preserve"> GREEN PERSTANCE EBT SOLUTION To build a solution to build</v>
      </c>
    </row>
    <row r="3773" spans="1:2" x14ac:dyDescent="0.2">
      <c r="A3773" s="1" t="s">
        <v>342</v>
      </c>
      <c r="B3773" s="1" t="str">
        <f ca="1">IFERROR(__xludf.DUMFUNCTION("GOOGLETRANSLATE(A3865,""id"",""en"")"),"live this")</f>
        <v>live this</v>
      </c>
    </row>
    <row r="3774" spans="1:2" x14ac:dyDescent="0.2">
      <c r="A3774" s="1" t="s">
        <v>1223</v>
      </c>
      <c r="B3774" s="1" t="str">
        <f ca="1">IFERROR(__xludf.DUMFUNCTION("GOOGLETRANSLATE(A3866,""id"",""en"")"),"In the morning, the  Training Amp Consulting spokes for Mindfulness be aware of our for Ourself and the Environment, please pray for the support, yes, friends, thank you")</f>
        <v>In the morning, the  Training Amp Consulting spokes for Mindfulness be aware of our for Ourself and the Environment, please pray for the support, yes, friends, thank you</v>
      </c>
    </row>
    <row r="3775" spans="1:2" x14ac:dyDescent="0.2">
      <c r="A3775" s="1" t="s">
        <v>343</v>
      </c>
      <c r="B3775" s="1" t="str">
        <f ca="1">IFERROR(__xludf.DUMFUNCTION("GOOGLETRANSLATE(A3867,""id"",""en"")"),"gas stations forbid playing cellphones")</f>
        <v>gas stations forbid playing cellphones</v>
      </c>
    </row>
    <row r="3776" spans="1:2" x14ac:dyDescent="0.2">
      <c r="A3776" s="1" t="s">
        <v>344</v>
      </c>
      <c r="B3776" s="1" t="str">
        <f ca="1">IFERROR(__xludf.DUMFUNCTION("GOOGLETRANSLATE(A3868,""id"",""en"")"),"Ayok Let's Success Test")</f>
        <v>Ayok Let's Success Test</v>
      </c>
    </row>
    <row r="3777" spans="1:2" x14ac:dyDescent="0.2">
      <c r="A3777" s="1" t="s">
        <v>5100</v>
      </c>
      <c r="B3777" s="1" t="str">
        <f ca="1">IFERROR(__xludf.DUMFUNCTION("GOOGLETRANSLATE(A3869,""id"",""en"")"),"Alas  Buy BBM Via  Jalan Salur BBM Subsidy Sasar")</f>
        <v>Alas  Buy BBM Via  Jalan Salur BBM Subsidy Sasar</v>
      </c>
    </row>
    <row r="3778" spans="1:2" x14ac:dyDescent="0.2">
      <c r="A3778" s="1" t="s">
        <v>1224</v>
      </c>
      <c r="B3778" s="1" t="str">
        <f ca="1">IFERROR(__xludf.DUMFUNCTION("GOOGLETRANSLATE(A3870,""id"",""en"")"),"Proud  Achievement")</f>
        <v>Proud  Achievement</v>
      </c>
    </row>
    <row r="3779" spans="1:2" x14ac:dyDescent="0.2">
      <c r="A3779" s="1" t="s">
        <v>1128</v>
      </c>
      <c r="B3779" s="1" t="str">
        <f ca="1">IFERROR(__xludf.DUMFUNCTION("GOOGLETRANSLATE(A3871,""id"",""en"")")," Terpor Esg Operation Oil Refinery Solution to Build")</f>
        <v xml:space="preserve"> Terpor Esg Operation Oil Refinery Solution to Build</v>
      </c>
    </row>
    <row r="3780" spans="1:2" x14ac:dyDescent="0.2">
      <c r="A3780" s="1" t="s">
        <v>345</v>
      </c>
      <c r="B3780" s="1" t="str">
        <f ca="1">IFERROR(__xludf.DUMFUNCTION("GOOGLETRANSLATE(A3873,""id"",""en"")"),"this must live the territory")</f>
        <v>this must live the territory</v>
      </c>
    </row>
    <row r="3781" spans="1:2" x14ac:dyDescent="0.2">
      <c r="A3781" s="1" t="s">
        <v>1225</v>
      </c>
      <c r="B3781" s="1" t="str">
        <f ca="1">IFERROR(__xludf.DUMFUNCTION("GOOGLETRANSLATE(A3874,""id"",""en"")"),"Denpasar Police Chief of PT  Branch Denpasar Denpasar Branch")</f>
        <v>Denpasar Police Chief of PT  Branch Denpasar Denpasar Branch</v>
      </c>
    </row>
    <row r="3782" spans="1:2" x14ac:dyDescent="0.2">
      <c r="A3782" s="1" t="s">
        <v>1226</v>
      </c>
      <c r="B3782" s="1" t="str">
        <f ca="1">IFERROR(__xludf.DUMFUNCTION("GOOGLETRANSLATE(A3875,""id"",""en"")")," Terpor Esg Operating Oil Refinery Solutions to Build")</f>
        <v xml:space="preserve"> Terpor Esg Operating Oil Refinery Solutions to Build</v>
      </c>
    </row>
    <row r="3783" spans="1:2" x14ac:dyDescent="0.2">
      <c r="A3783" s="1" t="s">
        <v>1227</v>
      </c>
      <c r="B3783" s="1" t="str">
        <f ca="1">IFERROR(__xludf.DUMFUNCTION("GOOGLETRANSLATE(A3876,""id"",""en"")")," Benefits of Digital Control Application Buying BBM Subsidies")</f>
        <v xml:space="preserve"> Benefits of Digital Control Application Buying BBM Subsidies</v>
      </c>
    </row>
    <row r="3784" spans="1:2" x14ac:dyDescent="0.2">
      <c r="A3784" s="1" t="s">
        <v>5101</v>
      </c>
      <c r="B3784" s="1" t="str">
        <f ca="1">IFERROR(__xludf.DUMFUNCTION("GOOGLETRANSLATE(A3877,""id"",""en"")")," trials the   July Solutions application to build")</f>
        <v xml:space="preserve"> trials the   July Solutions application to build</v>
      </c>
    </row>
    <row r="3785" spans="1:2" x14ac:dyDescent="0.2">
      <c r="A3785" s="1" t="s">
        <v>5101</v>
      </c>
      <c r="B3785" s="1" t="str">
        <f ca="1">IFERROR(__xludf.DUMFUNCTION("GOOGLETRANSLATE(A3880,""id"",""en"")")," trials the   July Solutions application to build")</f>
        <v xml:space="preserve"> trials the   July Solutions application to build</v>
      </c>
    </row>
    <row r="3786" spans="1:2" x14ac:dyDescent="0.2">
      <c r="A3786" s="1" t="s">
        <v>346</v>
      </c>
      <c r="B3786" s="1" t="str">
        <f ca="1">IFERROR(__xludf.DUMFUNCTION("GOOGLETRANSLATE(A3881,""id"",""en"")"),"realized yes lae already lying")</f>
        <v>realized yes lae already lying</v>
      </c>
    </row>
    <row r="3787" spans="1:2" x14ac:dyDescent="0.2">
      <c r="A3787" s="1" t="s">
        <v>347</v>
      </c>
      <c r="B3787" s="1" t="str">
        <f ca="1">IFERROR(__xludf.DUMFUNCTION("GOOGLETRANSLATE(A3882,""id"",""en"")"),"MOGA SYSTEM SALUR BBM SUBSIDI SUBSIDIARY")</f>
        <v>MOGA SYSTEM SALUR BBM SUBSIDI SUBSIDIARY</v>
      </c>
    </row>
    <row r="3788" spans="1:2" x14ac:dyDescent="0.2">
      <c r="A3788" s="1" t="s">
        <v>5102</v>
      </c>
      <c r="B3788" s="1" t="str">
        <f ca="1">IFERROR(__xludf.DUMFUNCTION("GOOGLETRANSLATE(A3884,""id"",""en"")"),"Yup  goes to the detailed information of the mechanism for QR , I'm looking for a clear rational")</f>
        <v>Yup  goes to the detailed information of the mechanism for QR , I'm looking for a clear rational</v>
      </c>
    </row>
    <row r="3789" spans="1:2" x14ac:dyDescent="0.2">
      <c r="A3789" s="1" t="s">
        <v>1228</v>
      </c>
      <c r="B3789" s="1" t="str">
        <f ca="1">IFERROR(__xludf.DUMFUNCTION("GOOGLETRANSLATE(A3885,""id"",""en"")")," Commitment to Both Community Services")</f>
        <v xml:space="preserve"> Commitment to Both Community Services</v>
      </c>
    </row>
    <row r="3790" spans="1:2" x14ac:dyDescent="0.2">
      <c r="A3790" s="1" t="s">
        <v>1229</v>
      </c>
      <c r="B3790" s="1" t="str">
        <f ca="1">IFERROR(__xludf.DUMFUNCTION("GOOGLETRANSLATE(A3886,""id"",""en"")")," The property rights of the data of the era of the era are easy to go to the Sasar BBM, of course, the type of Pertalite Pertamax is difficult")</f>
        <v xml:space="preserve"> The property rights of the data of the era of the era are easy to go to the Sasar BBM, of course, the type of Pertalite Pertamax is difficult</v>
      </c>
    </row>
    <row r="3791" spans="1:2" x14ac:dyDescent="0.2">
      <c r="A3791" s="1" t="s">
        <v>1230</v>
      </c>
      <c r="B3791" s="1" t="str">
        <f ca="1">IFERROR(__xludf.DUMFUNCTION("GOOGLETRANSLATE(A3887,""id"",""en"")"),"Lahh, former inmate of 's Commissioner, you are shut up")</f>
        <v>Lahh, former inmate of 's Commissioner, you are shut up</v>
      </c>
    </row>
    <row r="3792" spans="1:2" x14ac:dyDescent="0.2">
      <c r="A3792" s="1" t="s">
        <v>1231</v>
      </c>
      <c r="B3792" s="1" t="str">
        <f ca="1">IFERROR(__xludf.DUMFUNCTION("GOOGLETRANSLATE(A3888,""id"",""en"")"),"Sanda Indonesia Business Selling BBM Price of  gas station prices do not use complicated")</f>
        <v>Sanda Indonesia Business Selling BBM Price of  gas station prices do not use complicated</v>
      </c>
    </row>
    <row r="3793" spans="1:2" x14ac:dyDescent="0.2">
      <c r="A3793" s="1" t="s">
        <v>5103</v>
      </c>
      <c r="B3793" s="1" t="str">
        <f ca="1">IFERROR(__xludf.DUMFUNCTION("GOOGLETRANSLATE(A3889,""id"",""en"")"),"Playing HP prohibits the contents of BBM Discourse Buy BBM Subsidies using the   application, don't slip the advertisement for the presidential candidate to the AAAH application to the AAAH application, which direction")</f>
        <v>Playing HP prohibits the contents of BBM Discourse Buy BBM Subsidies using the   application, don't slip the advertisement for the presidential candidate to the AAAH application to the AAAH application, which direction</v>
      </c>
    </row>
    <row r="3794" spans="1:2" x14ac:dyDescent="0.2">
      <c r="A3794" s="1" t="s">
        <v>348</v>
      </c>
      <c r="B3794" s="1" t="str">
        <f ca="1">IFERROR(__xludf.DUMFUNCTION("GOOGLETRANSLATE(A3890,""id"",""en"")"),"understand this help info")</f>
        <v>understand this help info</v>
      </c>
    </row>
    <row r="3795" spans="1:2" x14ac:dyDescent="0.2">
      <c r="A3795" s="1" t="s">
        <v>1232</v>
      </c>
      <c r="B3795" s="1" t="str">
        <f ca="1">IFERROR(__xludf.DUMFUNCTION("GOOGLETRANSLATE(A3891,""id"",""en"")"),"Look at Instagram Twitter who protest wisely  Personal Data Bel Different Bank Mandiri BRI BNI PLN BPJS etc. who collect personal data for services")</f>
        <v>Look at Instagram Twitter who protest wisely  Personal Data Bel Different Bank Mandiri BRI BNI PLN BPJS etc. who collect personal data for services</v>
      </c>
    </row>
    <row r="3796" spans="1:2" x14ac:dyDescent="0.2">
      <c r="A3796" s="1" t="s">
        <v>349</v>
      </c>
      <c r="B3796" s="1" t="str">
        <f ca="1">IFERROR(__xludf.DUMFUNCTION("GOOGLETRANSLATE(A3892,""id"",""en"")"),"city ​​trial using applications")</f>
        <v>city ​​trial using applications</v>
      </c>
    </row>
    <row r="3797" spans="1:2" x14ac:dyDescent="0.2">
      <c r="A3797" s="1" t="s">
        <v>1233</v>
      </c>
      <c r="B3797" s="1" t="str">
        <f ca="1">IFERROR(__xludf.DUMFUNCTION("GOOGLETRANSLATE(A3893,""id"",""en"")"),"tek kim tuh jurasan looking for lecture difficult easy to enter  PNS easily tekkim")</f>
        <v>tek kim tuh jurasan looking for lecture difficult easy to enter  PNS easily tekkim</v>
      </c>
    </row>
    <row r="3798" spans="1:2" x14ac:dyDescent="0.2">
      <c r="A3798" s="1" t="s">
        <v>5104</v>
      </c>
      <c r="B3798" s="1" t="str">
        <f ca="1">IFERROR(__xludf.DUMFUNCTION("GOOGLETRANSLATE(A3894,""id"",""en"")")," trials the  July application solution to build a solution to build")</f>
        <v xml:space="preserve"> trials the  July application solution to build a solution to build</v>
      </c>
    </row>
    <row r="3799" spans="1:2" x14ac:dyDescent="0.2">
      <c r="A3799" s="1" t="s">
        <v>1234</v>
      </c>
      <c r="B3799" s="1" t="str">
        <f ca="1">IFERROR(__xludf.DUMFUNCTION("GOOGLETRANSLATE(A3895,""id"",""en"")")," Terpor Esg Operation Oil Refinery Solution To build a solution to build")</f>
        <v xml:space="preserve"> Terpor Esg Operation Oil Refinery Solution To build a solution to build</v>
      </c>
    </row>
    <row r="3800" spans="1:2" x14ac:dyDescent="0.2">
      <c r="A3800" s="1" t="s">
        <v>350</v>
      </c>
      <c r="B3800" s="1" t="str">
        <f ca="1">IFERROR(__xludf.DUMFUNCTION("GOOGLETRANSLATE(A3896,""id"",""en"")"),"Make it difficult for the people")</f>
        <v>Make it difficult for the people</v>
      </c>
    </row>
    <row r="3801" spans="1:2" x14ac:dyDescent="0.2">
      <c r="A3801" s="1" t="s">
        <v>1235</v>
      </c>
      <c r="B3801" s="1" t="str">
        <f ca="1">IFERROR(__xludf.DUMFUNCTION("GOOGLETRANSLATE(A3897,""id"",""en"")")," Andalakan EBT Solutions To Build")</f>
        <v xml:space="preserve"> Andalakan EBT Solutions To Build</v>
      </c>
    </row>
    <row r="3802" spans="1:2" x14ac:dyDescent="0.2">
      <c r="A3802" s="1" t="s">
        <v>5105</v>
      </c>
      <c r="B3802" s="1" t="str">
        <f ca="1">IFERROR(__xludf.DUMFUNCTION("GOOGLETRANSLATE(A3898,""id"",""en"")")," Application Active Features Pay Method Connect Linkaja Wallet Account  Amp Telkomsel Both BUMN Go Figure Adds Pay Methods Via Bank Debit Card Connecting Account Linkaja Account")</f>
        <v xml:space="preserve"> Application Active Features Pay Method Connect Linkaja Wallet Account  Amp Telkomsel Both BUMN Go Figure Adds Pay Methods Via Bank Debit Card Connecting Account Linkaja Account</v>
      </c>
    </row>
    <row r="3803" spans="1:2" x14ac:dyDescent="0.2">
      <c r="A3803" s="1" t="s">
        <v>351</v>
      </c>
      <c r="B3803" s="1" t="str">
        <f ca="1">IFERROR(__xludf.DUMFUNCTION("GOOGLETRANSLATE(A3899,""id"",""en"")"),"if the spokesman is ahok or erick tohir")</f>
        <v>if the spokesman is ahok or erick tohir</v>
      </c>
    </row>
    <row r="3804" spans="1:2" x14ac:dyDescent="0.2">
      <c r="A3804" s="1" t="s">
        <v>5104</v>
      </c>
      <c r="B3804" s="1" t="str">
        <f ca="1">IFERROR(__xludf.DUMFUNCTION("GOOGLETRANSLATE(A3900,""id"",""en"")")," trials the  July application solution to build a solution to build")</f>
        <v xml:space="preserve"> trials the  July application solution to build a solution to build</v>
      </c>
    </row>
    <row r="3805" spans="1:2" x14ac:dyDescent="0.2">
      <c r="A3805" s="1" t="s">
        <v>352</v>
      </c>
      <c r="B3805" s="1" t="str">
        <f ca="1">IFERROR(__xludf.DUMFUNCTION("GOOGLETRANSLATE(A3901,""id"",""en"")"),"Haduh klu promotion of socialization using Indonesian wae")</f>
        <v>Haduh klu promotion of socialization using Indonesian wae</v>
      </c>
    </row>
    <row r="3806" spans="1:2" x14ac:dyDescent="0.2">
      <c r="A3806" s="1" t="s">
        <v>353</v>
      </c>
      <c r="B3806" s="1" t="str">
        <f ca="1">IFERROR(__xludf.DUMFUNCTION("GOOGLETRANSLATE(A3902,""id"",""en"")"),"blunder first up")</f>
        <v>blunder first up</v>
      </c>
    </row>
    <row r="3807" spans="1:2" x14ac:dyDescent="0.2">
      <c r="A3807" s="1" t="s">
        <v>5106</v>
      </c>
      <c r="B3807" s="1" t="str">
        <f ca="1">IFERROR(__xludf.DUMFUNCTION("GOOGLETRANSLATE(A3903,""id"",""en"")"),"Happy Comedy Country I brought  motorbike to turn off the cellphone with gasoline but this is a cute stupid that naturally the gas station plays a cellphone, buy gasoline, list of applications when you buy gasoline already queued to go cm to open  per"&amp;"tamina")</f>
        <v>Happy Comedy Country I brought  motorbike to turn off the cellphone with gasoline but this is a cute stupid that naturally the gas station plays a cellphone, buy gasoline, list of applications when you buy gasoline already queued to go cm to open  pertamina</v>
      </c>
    </row>
    <row r="3808" spans="1:2" x14ac:dyDescent="0.2">
      <c r="A3808" s="1" t="s">
        <v>1234</v>
      </c>
      <c r="B3808" s="1" t="str">
        <f ca="1">IFERROR(__xludf.DUMFUNCTION("GOOGLETRANSLATE(A3904,""id"",""en"")")," Terpor Esg Operation Oil Refinery Solution To build a solution to build")</f>
        <v xml:space="preserve"> Terpor Esg Operation Oil Refinery Solution To build a solution to build</v>
      </c>
    </row>
    <row r="3809" spans="1:2" x14ac:dyDescent="0.2">
      <c r="A3809" s="1" t="s">
        <v>5107</v>
      </c>
      <c r="B3809" s="1" t="str">
        <f ca="1">IFERROR(__xludf.DUMFUNCTION("GOOGLETRANSLATE(A3905,""id"",""en"")")," application that is cons ad which is pros and out for your limit feature to buy is not slow so that the price is not taikkkkk")</f>
        <v xml:space="preserve"> application that is cons ad which is pros and out for your limit feature to buy is not slow so that the price is not taikkkkk</v>
      </c>
    </row>
    <row r="3810" spans="1:2" x14ac:dyDescent="0.2">
      <c r="A3810" s="1" t="s">
        <v>354</v>
      </c>
      <c r="B3810" s="1" t="str">
        <f ca="1">IFERROR(__xludf.DUMFUNCTION("GOOGLETRANSLATE(A3906,""id"",""en"")"),"Fast form of the Indonesian Electricity Kendara Ecosystem Collaboration")</f>
        <v>Fast form of the Indonesian Electricity Kendara Ecosystem Collaboration</v>
      </c>
    </row>
    <row r="3811" spans="1:2" x14ac:dyDescent="0.2">
      <c r="A3811" s="1" t="s">
        <v>5108</v>
      </c>
      <c r="B3811" s="1" t="str">
        <f ca="1">IFERROR(__xludf.DUMFUNCTION("GOOGLETRANSLATE(A3907,""id"",""en"")"),"  Application Business Link Subsidies Bio Solar Buy CPO Business Money State Entering Pocket")</f>
        <v xml:space="preserve">  Application Business Link Subsidies Bio Solar Buy CPO Business Money State Entering Pocket</v>
      </c>
    </row>
    <row r="3812" spans="1:2" x14ac:dyDescent="0.2">
      <c r="A3812" s="1" t="s">
        <v>1236</v>
      </c>
      <c r="B3812" s="1" t="str">
        <f ca="1">IFERROR(__xludf.DUMFUNCTION("GOOGLETRANSLATE(A3908,""id"",""en"")"),"Thank you, friend, spirit, let's support 's MSMEs, Sob, friend, Atria")</f>
        <v>Thank you, friend, spirit, let's support 's MSMEs, Sob, friend, Atria</v>
      </c>
    </row>
    <row r="3813" spans="1:2" x14ac:dyDescent="0.2">
      <c r="A3813" s="1" t="s">
        <v>5109</v>
      </c>
      <c r="B3813" s="1" t="str">
        <f ca="1">IFERROR(__xludf.DUMFUNCTION("GOOGLETRANSLATE(A3909,""id"",""en"")"),"I caught the application that the application can be able to take the vehicle data and the front electronic ticketing address, so it is more smooth in , filling the data, it is very possible until the address")</f>
        <v>I caught the application that the application can be able to take the vehicle data and the front electronic ticketing address, so it is more smooth in , filling the data, it is very possible until the address</v>
      </c>
    </row>
    <row r="3814" spans="1:2" x14ac:dyDescent="0.2">
      <c r="A3814" s="1" t="s">
        <v>5110</v>
      </c>
      <c r="B3814" s="1" t="str">
        <f ca="1">IFERROR(__xludf.DUMFUNCTION("GOOGLETRANSLATE(A3910,""id"",""en"")"),"if you have an account  , what are you doing")</f>
        <v>if you have an account  , what are you doing</v>
      </c>
    </row>
    <row r="3815" spans="1:2" x14ac:dyDescent="0.2">
      <c r="A3815" s="1" t="s">
        <v>355</v>
      </c>
      <c r="B3815" s="1" t="str">
        <f ca="1">IFERROR(__xludf.DUMFUNCTION("GOOGLETRANSLATE(A3911,""id"",""en"")"),"hi friend, thank you, yes, support it wholeheartedly in the morning, the success")</f>
        <v>hi friend, thank you, yes, support it wholeheartedly in the morning, the success</v>
      </c>
    </row>
    <row r="3816" spans="1:2" x14ac:dyDescent="0.2">
      <c r="A3816" s="1" t="s">
        <v>5111</v>
      </c>
      <c r="B3816" s="1" t="str">
        <f ca="1">IFERROR(__xludf.DUMFUNCTION("GOOGLETRANSLATE(A3912,""id"",""en"")"),"  is better to take care of the person who fills the gasoline carrying the conductor directly to the front")</f>
        <v xml:space="preserve">  is better to take care of the person who fills the gasoline carrying the conductor directly to the front</v>
      </c>
    </row>
    <row r="3817" spans="1:2" x14ac:dyDescent="0.2">
      <c r="A3817" s="1" t="s">
        <v>356</v>
      </c>
      <c r="B3817" s="1" t="str">
        <f ca="1">IFERROR(__xludf.DUMFUNCTION("GOOGLETRANSLATE(A3913,""id"",""en"")"),"Thank you, friend, appreciate, support the healthy guard, the spirit of success, friend, atria")</f>
        <v>Thank you, friend, appreciate, support the healthy guard, the spirit of success, friend, atria</v>
      </c>
    </row>
    <row r="3818" spans="1:2" x14ac:dyDescent="0.2">
      <c r="A3818" s="1" t="s">
        <v>357</v>
      </c>
      <c r="B3818" s="1" t="str">
        <f ca="1">IFERROR(__xludf.DUMFUNCTION("GOOGLETRANSLATE(A3914,""id"",""en"")"),"Thank you to support your appreciation, friend, good morning, take care of it, friend, atria")</f>
        <v>Thank you to support your appreciation, friend, good morning, take care of it, friend, atria</v>
      </c>
    </row>
    <row r="3819" spans="1:2" x14ac:dyDescent="0.2">
      <c r="A3819" s="1" t="s">
        <v>358</v>
      </c>
      <c r="B3819" s="1" t="str">
        <f ca="1">IFERROR(__xludf.DUMFUNCTION("GOOGLETRANSLATE(A3915,""id"",""en"")"),"Success, friend, thank you to support Atria")</f>
        <v>Success, friend, thank you to support Atria</v>
      </c>
    </row>
    <row r="3820" spans="1:2" x14ac:dyDescent="0.2">
      <c r="A3820" s="1" t="s">
        <v>5112</v>
      </c>
      <c r="B3820" s="1" t="str">
        <f ca="1">IFERROR(__xludf.DUMFUNCTION("GOOGLETRANSLATE(A3916,""id"",""en"")"),"from the   application that is difficult for the people to make it adjust the fan motorcycle pertalite the price rises at the price of the difference with Pertamax")</f>
        <v>from the   application that is difficult for the people to make it adjust the fan motorcycle pertalite the price rises at the price of the difference with Pertamax</v>
      </c>
    </row>
    <row r="3821" spans="1:2" x14ac:dyDescent="0.2">
      <c r="A3821" s="1" t="s">
        <v>355</v>
      </c>
      <c r="B3821" s="1" t="str">
        <f ca="1">IFERROR(__xludf.DUMFUNCTION("GOOGLETRANSLATE(A3917,""id"",""en"")"),"hi friend, thank you, yes, support it wholeheartedly in the morning, the success")</f>
        <v>hi friend, thank you, yes, support it wholeheartedly in the morning, the success</v>
      </c>
    </row>
    <row r="3822" spans="1:2" x14ac:dyDescent="0.2">
      <c r="A3822" s="1" t="s">
        <v>5113</v>
      </c>
      <c r="B3822" s="1" t="str">
        <f ca="1">IFERROR(__xludf.DUMFUNCTION("GOOGLETRANSLATE(A3918,""id"",""en"")"),"Fill in Pertalite using   also the link application, the contents of the bank debit card add option")</f>
        <v>Fill in Pertalite using   also the link application, the contents of the bank debit card add option</v>
      </c>
    </row>
    <row r="3823" spans="1:2" x14ac:dyDescent="0.2">
      <c r="A3823" s="1" t="s">
        <v>359</v>
      </c>
      <c r="B3823" s="1" t="str">
        <f ca="1">IFERROR(__xludf.DUMFUNCTION("GOOGLETRANSLATE(A3919,""id"",""en"")"),"hopefully success according to the target")</f>
        <v>hopefully success according to the target</v>
      </c>
    </row>
    <row r="3824" spans="1:2" x14ac:dyDescent="0.2">
      <c r="A3824" s="1" t="s">
        <v>1237</v>
      </c>
      <c r="B3824" s="1" t="str">
        <f ca="1">IFERROR(__xludf.DUMFUNCTION("GOOGLETRANSLATE(A3920,""id"",""en"")"),"just a play so that it is exploded ")</f>
        <v xml:space="preserve">just a play so that it is exploded </v>
      </c>
    </row>
    <row r="3825" spans="1:2" x14ac:dyDescent="0.2">
      <c r="A3825" s="1" t="s">
        <v>357</v>
      </c>
      <c r="B3825" s="1" t="str">
        <f ca="1">IFERROR(__xludf.DUMFUNCTION("GOOGLETRANSLATE(A3921,""id"",""en"")"),"Thank you to support your appreciation, friend, good morning, take care of it, friend, atria")</f>
        <v>Thank you to support your appreciation, friend, good morning, take care of it, friend, atria</v>
      </c>
    </row>
    <row r="3826" spans="1:2" x14ac:dyDescent="0.2">
      <c r="A3826" s="1" t="s">
        <v>360</v>
      </c>
      <c r="B3826" s="1" t="str">
        <f ca="1">IFERROR(__xludf.DUMFUNCTION("GOOGLETRANSLATE(A3922,""id"",""en"")"),"hi friend, thank you for the success")</f>
        <v>hi friend, thank you for the success</v>
      </c>
    </row>
    <row r="3827" spans="1:2" x14ac:dyDescent="0.2">
      <c r="A3827" s="1" t="s">
        <v>1236</v>
      </c>
      <c r="B3827" s="1" t="str">
        <f ca="1">IFERROR(__xludf.DUMFUNCTION("GOOGLETRANSLATE(A3923,""id"",""en"")"),"Thank you, friend, spirit, let's support 's MSMEs, Sob, friend, Atria")</f>
        <v>Thank you, friend, spirit, let's support 's MSMEs, Sob, friend, Atria</v>
      </c>
    </row>
    <row r="3828" spans="1:2" x14ac:dyDescent="0.2">
      <c r="A3828" s="1" t="s">
        <v>361</v>
      </c>
      <c r="B3828" s="1" t="str">
        <f ca="1">IFERROR(__xludf.DUMFUNCTION("GOOGLETRANSLATE(A3925,""id"",""en"")"),"Wakanda's order if it makes it set the people literate")</f>
        <v>Wakanda's order if it makes it set the people literate</v>
      </c>
    </row>
    <row r="3829" spans="1:2" x14ac:dyDescent="0.2">
      <c r="A3829" s="1" t="s">
        <v>1238</v>
      </c>
      <c r="B3829" s="1" t="str">
        <f ca="1">IFERROR(__xludf.DUMFUNCTION("GOOGLETRANSLATE(A3926,""id"",""en"")"),"Thank you to support  friend, let's support 's MSMEs forward, hopefully successful")</f>
        <v>Thank you to support  friend, let's support 's MSMEs forward, hopefully successful</v>
      </c>
    </row>
    <row r="3830" spans="1:2" x14ac:dyDescent="0.2">
      <c r="A3830" s="1" t="s">
        <v>1239</v>
      </c>
      <c r="B3830" s="1" t="str">
        <f ca="1">IFERROR(__xludf.DUMFUNCTION("GOOGLETRANSLATE(A3927,""id"",""en"")")," Benefits of Layan Prima Langgan")</f>
        <v xml:space="preserve"> Benefits of Layan Prima Langgan</v>
      </c>
    </row>
    <row r="3831" spans="1:2" x14ac:dyDescent="0.2">
      <c r="A3831" s="1" t="s">
        <v>5114</v>
      </c>
      <c r="B3831" s="1" t="str">
        <f ca="1">IFERROR(__xludf.DUMFUNCTION("GOOGLETRANSLATE(A3928,""id"",""en"")"),"  application is just rising solar pertalite at a price that does not percent of the KSN people have non -subsidized fuel")</f>
        <v xml:space="preserve">  application is just rising solar pertalite at a price that does not percent of the KSN people have non -subsidized fuel</v>
      </c>
    </row>
    <row r="3832" spans="1:2" x14ac:dyDescent="0.2">
      <c r="A3832" s="1" t="s">
        <v>5115</v>
      </c>
      <c r="B3832" s="1" t="str">
        <f ca="1">IFERROR(__xludf.DUMFUNCTION("GOOGLETRANSLATE(A3929,""id"",""en"")")," Test Trial Buy BBM Pertalite Solar Application  Friday July BA")</f>
        <v xml:space="preserve"> Test Trial Buy BBM Pertalite Solar Application  Friday July BA</v>
      </c>
    </row>
    <row r="3833" spans="1:2" x14ac:dyDescent="0.2">
      <c r="A3833" s="1" t="s">
        <v>1236</v>
      </c>
      <c r="B3833" s="1" t="str">
        <f ca="1">IFERROR(__xludf.DUMFUNCTION("GOOGLETRANSLATE(A3930,""id"",""en"")"),"Thank you, friend, spirit, let's support 's MSMEs, Sob, friend, Atria")</f>
        <v>Thank you, friend, spirit, let's support 's MSMEs, Sob, friend, Atria</v>
      </c>
    </row>
    <row r="3834" spans="1:2" x14ac:dyDescent="0.2">
      <c r="A3834" s="1" t="s">
        <v>362</v>
      </c>
      <c r="B3834" s="1" t="str">
        <f ca="1">IFERROR(__xludf.DUMFUNCTION("GOOGLETRANSLATE(A3931,""id"",""en"")"),"pictures of cellphones that gas stations prohibit cellphones using keypad")</f>
        <v>pictures of cellphones that gas stations prohibit cellphones using keypad</v>
      </c>
    </row>
    <row r="3835" spans="1:2" x14ac:dyDescent="0.2">
      <c r="A3835" s="1" t="s">
        <v>1240</v>
      </c>
      <c r="B3835" s="1" t="str">
        <f ca="1">IFERROR(__xludf.DUMFUNCTION("GOOGLETRANSLATE(A3932,""id"",""en"")"),"wonder wisely ngadi broini  open a cellphone to fill gasoline")</f>
        <v>wonder wisely ngadi broini  open a cellphone to fill gasoline</v>
      </c>
    </row>
    <row r="3836" spans="1:2" x14ac:dyDescent="0.2">
      <c r="A3836" s="1" t="s">
        <v>5116</v>
      </c>
      <c r="B3836" s="1" t="str">
        <f ca="1">IFERROR(__xludf.DUMFUNCTION("GOOGLETRANSLATE(A3933,""id"",""en"")"),"  Fill in the Folder")</f>
        <v xml:space="preserve">  Fill in the Folder</v>
      </c>
    </row>
    <row r="3837" spans="1:2" x14ac:dyDescent="0.2">
      <c r="A3837" s="1" t="s">
        <v>363</v>
      </c>
      <c r="B3837" s="1" t="str">
        <f ca="1">IFERROR(__xludf.DUMFUNCTION("GOOGLETRANSLATE(A3934,""id"",""en"")"),"Here it's close")</f>
        <v>Here it's close</v>
      </c>
    </row>
    <row r="3838" spans="1:2" x14ac:dyDescent="0.2">
      <c r="A3838" s="1" t="s">
        <v>5117</v>
      </c>
      <c r="B3838" s="1" t="str">
        <f ca="1">IFERROR(__xludf.DUMFUNCTION("GOOGLETRANSLATE(A3935,""id"",""en"")"),"The contents of the fuel money in the thousands of gas stations, buy credit pulses,  , fill in Pertalite RB, Chinese TKA Kadrun Jordi Cold")</f>
        <v>The contents of the fuel money in the thousands of gas stations, buy credit pulses,  , fill in Pertalite RB, Chinese TKA Kadrun Jordi Cold</v>
      </c>
    </row>
    <row r="3839" spans="1:2" x14ac:dyDescent="0.2">
      <c r="A3839" s="1" t="s">
        <v>1241</v>
      </c>
      <c r="B3839" s="1" t="str">
        <f ca="1">IFERROR(__xludf.DUMFUNCTION("GOOGLETRANSLATE(A3936,""id"",""en"")")," Strategy Salur BBM subsidized solution to build")</f>
        <v xml:space="preserve"> Strategy Salur BBM subsidized solution to build</v>
      </c>
    </row>
    <row r="3840" spans="1:2" x14ac:dyDescent="0.2">
      <c r="A3840" s="1" t="s">
        <v>5101</v>
      </c>
      <c r="B3840" s="1" t="str">
        <f ca="1">IFERROR(__xludf.DUMFUNCTION("GOOGLETRANSLATE(A3937,""id"",""en"")")," trials the   July Solutions application to build")</f>
        <v xml:space="preserve"> trials the   July Solutions application to build</v>
      </c>
    </row>
    <row r="3841" spans="1:2" x14ac:dyDescent="0.2">
      <c r="A3841" s="1" t="s">
        <v>364</v>
      </c>
      <c r="B3841" s="1" t="str">
        <f ca="1">IFERROR(__xludf.DUMFUNCTION("GOOGLETRANSLATE(A3938,""id"",""en"")"),"Yup Ready July Lo Permanent Province")</f>
        <v>Yup Ready July Lo Permanent Province</v>
      </c>
    </row>
    <row r="3842" spans="1:2" x14ac:dyDescent="0.2">
      <c r="A3842" s="1" t="s">
        <v>5118</v>
      </c>
      <c r="B3842" s="1" t="str">
        <f ca="1">IFERROR(__xludf.DUMFUNCTION("GOOGLETRANSLATE(A3940,""id"",""en"")"),"for the application of   will make it difficult to subsidized not targeted jt spd motorbike dead motorcycles that pay tax vehicles that do not understand applications that do not hp hp.")</f>
        <v>for the application of   will make it difficult to subsidized not targeted jt spd motorbike dead motorcycles that pay tax vehicles that do not understand applications that do not hp hp.</v>
      </c>
    </row>
    <row r="3843" spans="1:2" x14ac:dyDescent="0.2">
      <c r="A3843" s="1" t="s">
        <v>1242</v>
      </c>
      <c r="B3843" s="1" t="str">
        <f ca="1">IFERROR(__xludf.DUMFUNCTION("GOOGLETRANSLATE(A3943,""id"",""en"")"),"Slm ahok komut ancor mah  loss about the KPK will be torture ahok kss corrupt, there is a loss about the contents of the BBM, the cellphone is told to turn off now, I have to buy BBM, the application for the cellphone, not thinking about the kikm"&amp;"ano")</f>
        <v>Slm ahok komut ancor mah  loss about the KPK will be torture ahok kss corrupt, there is a loss about the contents of the BBM, the cellphone is told to turn off now, I have to buy BBM, the application for the cellphone, not thinking about the kikmano</v>
      </c>
    </row>
    <row r="3844" spans="1:2" x14ac:dyDescent="0.2">
      <c r="A3844" s="1" t="s">
        <v>365</v>
      </c>
      <c r="B3844" s="1" t="str">
        <f ca="1">IFERROR(__xludf.DUMFUNCTION("GOOGLETRANSLATE(A3944,""id"",""en"")"),"employees also play cellphone")</f>
        <v>employees also play cellphone</v>
      </c>
    </row>
    <row r="3845" spans="1:2" x14ac:dyDescent="0.2">
      <c r="A3845" s="1" t="s">
        <v>5119</v>
      </c>
      <c r="B3845" s="1" t="str">
        <f ca="1">IFERROR(__xludf.DUMFUNCTION("GOOGLETRANSLATE(A3945,""id"",""en"")"),"Wakanda's orders to make it arrange for the people who are literate in smartphone technology, mosok lek dhe, you died ngarit ndudah install   ndisik ben iso tuku bengsin ning pom")</f>
        <v>Wakanda's orders to make it arrange for the people who are literate in smartphone technology, mosok lek dhe, you died ngarit ndudah install   ndisik ben iso tuku bengsin ning pom</v>
      </c>
    </row>
    <row r="3846" spans="1:2" x14ac:dyDescent="0.2">
      <c r="A3846" s="1" t="s">
        <v>5120</v>
      </c>
      <c r="B3846" s="1" t="str">
        <f ca="1">IFERROR(__xludf.DUMFUNCTION("GOOGLETRANSLATE(A3946,""id"",""en"")")," Kntl Bakattttt doesn't want to download   you think of selling chocolate buns.")</f>
        <v xml:space="preserve"> Kntl Bakattttt doesn't want to download   you think of selling chocolate buns.</v>
      </c>
    </row>
    <row r="3847" spans="1:2" x14ac:dyDescent="0.2">
      <c r="A3847" s="1" t="s">
        <v>1128</v>
      </c>
      <c r="B3847" s="1" t="str">
        <f ca="1">IFERROR(__xludf.DUMFUNCTION("GOOGLETRANSLATE(A3947,""id"",""en"")")," Terpor Esg Operation Oil Refinery Solution to Build")</f>
        <v xml:space="preserve"> Terpor Esg Operation Oil Refinery Solution to Build</v>
      </c>
    </row>
    <row r="3848" spans="1:2" x14ac:dyDescent="0.2">
      <c r="A3848" s="1" t="s">
        <v>5121</v>
      </c>
      <c r="B3848" s="1" t="str">
        <f ca="1">IFERROR(__xludf.DUMFUNCTION("GOOGLETRANSLATE(A3948,""id"",""en"")"),"Install   Special for Pertalite, it makes it wise, I know, it's not good for people with conditions like what is not talking about the city of the city, if it's like an ojol pedicab driver at")</f>
        <v>Install   Special for Pertalite, it makes it wise, I know, it's not good for people with conditions like what is not talking about the city of the city, if it's like an ojol pedicab driver at</v>
      </c>
    </row>
    <row r="3849" spans="1:2" x14ac:dyDescent="0.2">
      <c r="A3849" s="1" t="s">
        <v>1243</v>
      </c>
      <c r="B3849" s="1" t="str">
        <f ca="1">IFERROR(__xludf.DUMFUNCTION("GOOGLETRANSLATE(A3949,""id"",""en"")"),"said Tai ")</f>
        <v xml:space="preserve">said Tai </v>
      </c>
    </row>
    <row r="3850" spans="1:2" x14ac:dyDescent="0.2">
      <c r="A3850" s="1" t="s">
        <v>1128</v>
      </c>
      <c r="B3850" s="1" t="str">
        <f ca="1">IFERROR(__xludf.DUMFUNCTION("GOOGLETRANSLATE(A3950,""id"",""en"")")," Terpor Esg Operation Oil Refinery Solution to Build")</f>
        <v xml:space="preserve"> Terpor Esg Operation Oil Refinery Solution to Build</v>
      </c>
    </row>
    <row r="3851" spans="1:2" x14ac:dyDescent="0.2">
      <c r="A3851" s="1" t="s">
        <v>5122</v>
      </c>
      <c r="B3851" s="1" t="str">
        <f ca="1">IFERROR(__xludf.DUMFUNCTION("GOOGLETRANSLATE(A3952,""id"",""en"")"),"Bpk said that I added to buy a migor using a KTP Care Protection Application Buy Bbm List   Complicated just bothering the people")</f>
        <v>Bpk said that I added to buy a migor using a KTP Care Protection Application Buy Bbm List   Complicated just bothering the people</v>
      </c>
    </row>
    <row r="3852" spans="1:2" x14ac:dyDescent="0.2">
      <c r="A3852" s="1" t="s">
        <v>366</v>
      </c>
      <c r="B3852" s="1" t="str">
        <f ca="1">IFERROR(__xludf.DUMFUNCTION("GOOGLETRANSLATE(A3953,""id"",""en"")"),"Alhamdulillah, MSME")</f>
        <v>Alhamdulillah, MSME</v>
      </c>
    </row>
    <row r="3853" spans="1:2" x14ac:dyDescent="0.2">
      <c r="A3853" s="1" t="s">
        <v>367</v>
      </c>
      <c r="B3853" s="1" t="str">
        <f ca="1">IFERROR(__xludf.DUMFUNCTION("GOOGLETRANSLATE(A3954,""id"",""en"")"),"Almighty")</f>
        <v>Almighty</v>
      </c>
    </row>
    <row r="3854" spans="1:2" x14ac:dyDescent="0.2">
      <c r="A3854" s="1" t="s">
        <v>5123</v>
      </c>
      <c r="B3854" s="1" t="str">
        <f ca="1">IFERROR(__xludf.DUMFUNCTION("GOOGLETRANSLATE(A3955,""id"",""en"")"),"Mobile   App for Efficient Community Free Adv Advertisement Data Quality Tel Cellular")</f>
        <v>Mobile   App for Efficient Community Free Adv Advertisement Data Quality Tel Cellular</v>
      </c>
    </row>
    <row r="3855" spans="1:2" x14ac:dyDescent="0.2">
      <c r="A3855" s="1" t="s">
        <v>219</v>
      </c>
      <c r="B3855" s="1" t="str">
        <f ca="1">IFERROR(__xludf.DUMFUNCTION("GOOGLETRANSLATE(A3956,""id"",""en"")"),"CC")</f>
        <v>CC</v>
      </c>
    </row>
    <row r="3856" spans="1:2" x14ac:dyDescent="0.2">
      <c r="A3856" s="1" t="s">
        <v>368</v>
      </c>
      <c r="B3856" s="1" t="str">
        <f ca="1">IFERROR(__xludf.DUMFUNCTION("GOOGLETRANSLATE(A3957,""id"",""en"")"),"Adjust the trash")</f>
        <v>Adjust the trash</v>
      </c>
    </row>
    <row r="3857" spans="1:2" x14ac:dyDescent="0.2">
      <c r="A3857" s="1" t="s">
        <v>369</v>
      </c>
      <c r="B3857" s="1" t="str">
        <f ca="1">IFERROR(__xludf.DUMFUNCTION("GOOGLETRANSLATE(A3958,""id"",""en"")"),"PERTALITE BBM Subsidies")</f>
        <v>PERTALITE BBM Subsidies</v>
      </c>
    </row>
    <row r="3858" spans="1:2" x14ac:dyDescent="0.2">
      <c r="A3858" s="1" t="s">
        <v>1244</v>
      </c>
      <c r="B3858" s="1" t="str">
        <f ca="1">IFERROR(__xludf.DUMFUNCTION("GOOGLETRANSLATE(A3959,""id"",""en"")"),"waiting for those who commented to buy aj eh, that's the non - outlet, down the price of the world fuel prices down, this is a twist plot")</f>
        <v>waiting for those who commented to buy aj eh, that's the non - outlet, down the price of the world fuel prices down, this is a twist plot</v>
      </c>
    </row>
    <row r="3859" spans="1:2" x14ac:dyDescent="0.2">
      <c r="A3859" s="1" t="s">
        <v>1245</v>
      </c>
      <c r="B3859" s="1" t="str">
        <f ca="1">IFERROR(__xludf.DUMFUNCTION("GOOGLETRANSLATE(A3960,""id"",""en"")"),"July if you buy Pertalite via  application")</f>
        <v>July if you buy Pertalite via  application</v>
      </c>
    </row>
    <row r="3860" spans="1:2" x14ac:dyDescent="0.2">
      <c r="A3860" s="1" t="s">
        <v>370</v>
      </c>
      <c r="B3860" s="1" t="str">
        <f ca="1">IFERROR(__xludf.DUMFUNCTION("GOOGLETRANSLATE(A3961,""id"",""en"")"),"if you watch out, install the gas station CCTV, don't pretend to use applications that are not applicable, the type of vehicle is a cc that can't use pertalite, it's not good, it's really cool.")</f>
        <v>if you watch out, install the gas station CCTV, don't pretend to use applications that are not applicable, the type of vehicle is a cc that can't use pertalite, it's not good, it's really cool.</v>
      </c>
    </row>
    <row r="3861" spans="1:2" x14ac:dyDescent="0.2">
      <c r="A3861" s="1" t="s">
        <v>1246</v>
      </c>
      <c r="B3861" s="1" t="str">
        <f ca="1">IFERROR(__xludf.DUMFUNCTION("GOOGLETRANSLATE(A3962,""id"",""en"")")," is very suitable to use  application  which is self -serfive queuing long but not hanging people if the Liter application click just just scan it using qris")</f>
        <v xml:space="preserve"> is very suitable to use  application  which is self -serfive queuing long but not hanging people if the Liter application click just just scan it using qris</v>
      </c>
    </row>
    <row r="3862" spans="1:2" x14ac:dyDescent="0.2">
      <c r="A3862" s="1" t="s">
        <v>371</v>
      </c>
      <c r="B3862" s="1" t="str">
        <f ca="1">IFERROR(__xludf.DUMFUNCTION("GOOGLETRANSLATE(A3963,""id"",""en"")"),"wonder the drunk consumption of pertalite and solar")</f>
        <v>wonder the drunk consumption of pertalite and solar</v>
      </c>
    </row>
    <row r="3863" spans="1:2" x14ac:dyDescent="0.2">
      <c r="A3863" s="1" t="s">
        <v>372</v>
      </c>
      <c r="B3863" s="1" t="str">
        <f ca="1">IFERROR(__xludf.DUMFUNCTION("GOOGLETRANSLATE(A3964,""id"",""en"")"),"Really Kali Ana is destroyed by the Swordsman")</f>
        <v>Really Kali Ana is destroyed by the Swordsman</v>
      </c>
    </row>
    <row r="3864" spans="1:2" x14ac:dyDescent="0.2">
      <c r="A3864" s="1" t="s">
        <v>5124</v>
      </c>
      <c r="B3864" s="1" t="str">
        <f ca="1">IFERROR(__xludf.DUMFUNCTION("GOOGLETRANSLATE(A3965,""id"",""en"")"),"Yok Download   Let's Play Hp Pombensin")</f>
        <v>Yok Download   Let's Play Hp Pombensin</v>
      </c>
    </row>
    <row r="3865" spans="1:2" x14ac:dyDescent="0.2">
      <c r="A3865" s="1" t="s">
        <v>373</v>
      </c>
      <c r="B3865" s="1" t="str">
        <f ca="1">IFERROR(__xludf.DUMFUNCTION("GOOGLETRANSLATE(A3966,""id"",""en"")"),"Hello, the team thinks to be the ones who hope to set the risk mitigation")</f>
        <v>Hello, the team thinks to be the ones who hope to set the risk mitigation</v>
      </c>
    </row>
    <row r="3866" spans="1:2" x14ac:dyDescent="0.2">
      <c r="A3866" s="1" t="s">
        <v>374</v>
      </c>
      <c r="B3866" s="1" t="str">
        <f ca="1">IFERROR(__xludf.DUMFUNCTION("GOOGLETRANSLATE(A3967,""id"",""en"")"),"Yes broooooooo")</f>
        <v>Yes broooooooo</v>
      </c>
    </row>
    <row r="3867" spans="1:2" x14ac:dyDescent="0.2">
      <c r="A3867" s="1" t="s">
        <v>1016</v>
      </c>
      <c r="B3867" s="1" t="str">
        <f ca="1">IFERROR(__xludf.DUMFUNCTION("GOOGLETRANSLATE(A3968,""id"",""en"")")," Ep Boreh West Papua Well")</f>
        <v xml:space="preserve"> Ep Boreh West Papua Well</v>
      </c>
    </row>
    <row r="3868" spans="1:2" x14ac:dyDescent="0.2">
      <c r="A3868" s="1" t="s">
        <v>375</v>
      </c>
      <c r="B3868" s="1" t="str">
        <f ca="1">IFERROR(__xludf.DUMFUNCTION("GOOGLETRANSLATE(A3969,""id"",""en"")"),"in front of not avoiding digital systems that develop community socialization")</f>
        <v>in front of not avoiding digital systems that develop community socialization</v>
      </c>
    </row>
    <row r="3869" spans="1:2" x14ac:dyDescent="0.2">
      <c r="A3869" s="1" t="s">
        <v>1247</v>
      </c>
      <c r="B3869" s="1" t="str">
        <f ca="1">IFERROR(__xludf.DUMFUNCTION("GOOGLETRANSLATE(A3970,""id"",""en"")"),"don't you understand the technology of people who have been bothering age, ")</f>
        <v xml:space="preserve">don't you understand the technology of people who have been bothering age, </v>
      </c>
    </row>
    <row r="3870" spans="1:2" x14ac:dyDescent="0.2">
      <c r="A3870" s="1" t="s">
        <v>376</v>
      </c>
      <c r="B3870" s="1" t="str">
        <f ca="1">IFERROR(__xludf.DUMFUNCTION("GOOGLETRANSLATE(A3971,""id"",""en"")"),"Both community service")</f>
        <v>Both community service</v>
      </c>
    </row>
    <row r="3871" spans="1:2" x14ac:dyDescent="0.2">
      <c r="A3871" s="1" t="s">
        <v>377</v>
      </c>
      <c r="B3871" s="1" t="str">
        <f ca="1">IFERROR(__xludf.DUMFUNCTION("GOOGLETRANSLATE(A3972,""id"",""en"")"),"the country does not take care of the state backwarding the state of the narrative of the narrative of the tongs of the tongs of the tongs of the barrel")</f>
        <v>the country does not take care of the state backwarding the state of the narrative of the narrative of the tongs of the tongs of the tongs of the barrel</v>
      </c>
    </row>
    <row r="3872" spans="1:2" x14ac:dyDescent="0.2">
      <c r="A3872" s="1" t="s">
        <v>1248</v>
      </c>
      <c r="B3872" s="1" t="str">
        <f ca="1">IFERROR(__xludf.DUMFUNCTION("GOOGLETRANSLATE(A3973,""id"",""en"")")," both Indonesian people")</f>
        <v xml:space="preserve"> both Indonesian people</v>
      </c>
    </row>
    <row r="3873" spans="1:2" x14ac:dyDescent="0.2">
      <c r="A3873" s="1" t="s">
        <v>378</v>
      </c>
      <c r="B3873" s="1" t="str">
        <f ca="1">IFERROR(__xludf.DUMFUNCTION("GOOGLETRANSLATE(A3974,""id"",""en"")"),"Kyai Inus")</f>
        <v>Kyai Inus</v>
      </c>
    </row>
    <row r="3874" spans="1:2" x14ac:dyDescent="0.2">
      <c r="A3874" s="1" t="s">
        <v>5125</v>
      </c>
      <c r="B3874" s="1" t="str">
        <f ca="1">IFERROR(__xludf.DUMFUNCTION("GOOGLETRANSLATE(A3975,""id"",""en"")"),"the province of permanent July  buy subsidized fuel")</f>
        <v>the province of permanent July  buy subsidized fuel</v>
      </c>
    </row>
    <row r="3875" spans="1:2" x14ac:dyDescent="0.2">
      <c r="A3875" s="1" t="s">
        <v>5126</v>
      </c>
      <c r="B3875" s="1" t="str">
        <f ca="1">IFERROR(__xludf.DUMFUNCTION("GOOGLETRANSLATE(A3976,""id"",""en"")"),"  Cares for Protection")</f>
        <v xml:space="preserve">  Cares for Protection</v>
      </c>
    </row>
    <row r="3876" spans="1:2" x14ac:dyDescent="0.2">
      <c r="A3876" s="1" t="s">
        <v>379</v>
      </c>
      <c r="B3876" s="1" t="str">
        <f ca="1">IFERROR(__xludf.DUMFUNCTION("GOOGLETRANSLATE(A3977,""id"",""en"")"),"Data collected nihhh points")</f>
        <v>Data collected nihhh points</v>
      </c>
    </row>
    <row r="3877" spans="1:2" x14ac:dyDescent="0.2">
      <c r="A3877" s="1" t="s">
        <v>380</v>
      </c>
      <c r="B3877" s="1" t="str">
        <f ca="1">IFERROR(__xludf.DUMFUNCTION("GOOGLETRANSLATE(A3978,""id"",""en"")"),"Mafia that Garuda trillion is not a dove etc. Mafia Sadistic Kebo")</f>
        <v>Mafia that Garuda trillion is not a dove etc. Mafia Sadistic Kebo</v>
      </c>
    </row>
    <row r="3878" spans="1:2" x14ac:dyDescent="0.2">
      <c r="A3878" s="1" t="s">
        <v>5127</v>
      </c>
      <c r="B3878" s="1" t="str">
        <f ca="1">IFERROR(__xludf.DUMFUNCTION("GOOGLETRANSLATE(A3979,""id"",""en"")"),"Read the news, don't just try the trial on July, open the Indonesian simultaneous list, list via the web and get the qr code that is also printed via the   application")</f>
        <v>Read the news, don't just try the trial on July, open the Indonesian simultaneous list, list via the web and get the qr code that is also printed via the   application</v>
      </c>
    </row>
    <row r="3879" spans="1:2" x14ac:dyDescent="0.2">
      <c r="A3879" s="1" t="s">
        <v>381</v>
      </c>
      <c r="B3879" s="1" t="str">
        <f ca="1">IFERROR(__xludf.DUMFUNCTION("GOOGLETRANSLATE(A3980,""id"",""en"")"),"let's see together to understand")</f>
        <v>let's see together to understand</v>
      </c>
    </row>
    <row r="3880" spans="1:2" x14ac:dyDescent="0.2">
      <c r="A3880" s="1" t="s">
        <v>382</v>
      </c>
      <c r="B3880" s="1" t="str">
        <f ca="1">IFERROR(__xludf.DUMFUNCTION("GOOGLETRANSLATE(A3981,""id"",""en"")"),"Please require the condition of the people who buy the right to fuel subsidized mechanism for buying fuel")</f>
        <v>Please require the condition of the people who buy the right to fuel subsidized mechanism for buying fuel</v>
      </c>
    </row>
    <row r="3881" spans="1:2" x14ac:dyDescent="0.2">
      <c r="A3881" s="1" t="s">
        <v>1249</v>
      </c>
      <c r="B3881" s="1" t="str">
        <f ca="1">IFERROR(__xludf.DUMFUNCTION("GOOGLETRANSLATE(A3983,""id"",""en"")")," Class Garbage App Making a full bugs app eh doesn't make you listen to the SC team development, the leader development is severe, the apps are correct, not Indonesia, not to reach the internet using  smartphones")</f>
        <v xml:space="preserve"> Class Garbage App Making a full bugs app eh doesn't make you listen to the SC team development, the leader development is severe, the apps are correct, not Indonesia, not to reach the internet using  smartphones</v>
      </c>
    </row>
    <row r="3882" spans="1:2" x14ac:dyDescent="0.2">
      <c r="A3882" s="1" t="s">
        <v>383</v>
      </c>
      <c r="B3882" s="1" t="str">
        <f ca="1">IFERROR(__xludf.DUMFUNCTION("GOOGLETRANSLATE(A3986,""id"",""en"")"),"orders here here heh I fill gasoline red plate car filled with Pertalite Asyuuuuuu")</f>
        <v>orders here here heh I fill gasoline red plate car filled with Pertalite Asyuuuuuu</v>
      </c>
    </row>
    <row r="3883" spans="1:2" x14ac:dyDescent="0.2">
      <c r="A3883" s="1" t="s">
        <v>1250</v>
      </c>
      <c r="B3883" s="1" t="str">
        <f ca="1">IFERROR(__xludf.DUMFUNCTION("GOOGLETRANSLATE(A3987,""id"",""en"")"),"just try to give  work so it can't refuse")</f>
        <v>just try to give  work so it can't refuse</v>
      </c>
    </row>
    <row r="3884" spans="1:2" x14ac:dyDescent="0.2">
      <c r="A3884" s="1" t="s">
        <v>1251</v>
      </c>
      <c r="B3884" s="1" t="str">
        <f ca="1">IFERROR(__xludf.DUMFUNCTION("GOOGLETRANSLATE(A3988,""id"",""en"")"),"If you go to , the application for the contents of BBM is one to prevent vehicles that disobey tax")</f>
        <v>If you go to , the application for the contents of BBM is one to prevent vehicles that disobey tax</v>
      </c>
    </row>
    <row r="3885" spans="1:2" x14ac:dyDescent="0.2">
      <c r="A3885" s="1" t="s">
        <v>384</v>
      </c>
      <c r="B3885" s="1" t="str">
        <f ca="1">IFERROR(__xludf.DUMFUNCTION("GOOGLETRANSLATE(A3989,""id"",""en"")"),"I hope the Sasar Salur BBM subsidized")</f>
        <v>I hope the Sasar Salur BBM subsidized</v>
      </c>
    </row>
    <row r="3886" spans="1:2" x14ac:dyDescent="0.2">
      <c r="A3886" s="1" t="s">
        <v>1252</v>
      </c>
      <c r="B3886" s="1" t="str">
        <f ca="1">IFERROR(__xludf.DUMFUNCTION("GOOGLETRANSLATE(A3990,""id"",""en"")"),"halah who cheated control of the contents of the castor oil just found the gas station using the app payment, the  was just right")</f>
        <v>halah who cheated control of the contents of the castor oil just found the gas station using the app payment, the  was just right</v>
      </c>
    </row>
    <row r="3887" spans="1:2" x14ac:dyDescent="0.2">
      <c r="A3887" s="1" t="s">
        <v>1253</v>
      </c>
      <c r="B3887" s="1" t="str">
        <f ca="1">IFERROR(__xludf.DUMFUNCTION("GOOGLETRANSLATE(A3992,""id"",""en"")")," App Please Bang Brando Kumandang aka Attacking Playstore Star Leaks Dead")</f>
        <v xml:space="preserve"> App Please Bang Brando Kumandang aka Attacking Playstore Star Leaks Dead</v>
      </c>
    </row>
    <row r="3888" spans="1:2" x14ac:dyDescent="0.2">
      <c r="A3888" s="1" t="s">
        <v>1254</v>
      </c>
      <c r="B3888" s="1" t="str">
        <f ca="1">IFERROR(__xludf.DUMFUNCTION("GOOGLETRANSLATE(A3994,""id"",""en"")"),"'s work results")</f>
        <v>'s work results</v>
      </c>
    </row>
    <row r="3889" spans="1:2" x14ac:dyDescent="0.2">
      <c r="A3889" s="1" t="s">
        <v>1255</v>
      </c>
      <c r="B3889" s="1" t="str">
        <f ca="1">IFERROR(__xludf.DUMFUNCTION("GOOGLETRANSLATE(A3995,""id"",""en"")"),"Lha, the internet nets are just even flat, making it strange to the one who is clean, , you know")</f>
        <v>Lha, the internet nets are just even flat, making it strange to the one who is clean, , you know</v>
      </c>
    </row>
    <row r="3890" spans="1:2" x14ac:dyDescent="0.2">
      <c r="A3890" s="1" t="s">
        <v>1256</v>
      </c>
      <c r="B3890" s="1" t="str">
        <f ca="1">IFERROR(__xludf.DUMFUNCTION("GOOGLETRANSLATE(A3996,""id"",""en"")"),"Just buying Pertalite eh forgot to buy Pertamax the day, the contents of the rb ltr now can be the contents of the rb ltr then dated jul hrs pk the application buy with the distance right trx must min position meter su pertalite")</f>
        <v>Just buying Pertalite eh forgot to buy Pertamax the day, the contents of the rb ltr now can be the contents of the rb ltr then dated jul hrs pk the application buy with the distance right trx must min position meter su pertalite</v>
      </c>
    </row>
    <row r="3891" spans="1:2" x14ac:dyDescent="0.2">
      <c r="A3891" s="1" t="s">
        <v>1257</v>
      </c>
      <c r="B3891" s="1" t="str">
        <f ca="1">IFERROR(__xludf.DUMFUNCTION("GOOGLETRANSLATE(A3997,""id"",""en"")"),"form of failure  manages the oil of the country")</f>
        <v>form of failure  manages the oil of the country</v>
      </c>
    </row>
    <row r="3892" spans="1:2" x14ac:dyDescent="0.2">
      <c r="A3892" s="1" t="s">
        <v>385</v>
      </c>
      <c r="B3892" s="1" t="str">
        <f ca="1">IFERROR(__xludf.DUMFUNCTION("GOOGLETRANSLATE(A3998,""id"",""en"")"),"the province is permanent in July")</f>
        <v>the province is permanent in July</v>
      </c>
    </row>
    <row r="3893" spans="1:2" x14ac:dyDescent="0.2">
      <c r="A3893" s="1" t="s">
        <v>386</v>
      </c>
      <c r="B3893" s="1" t="str">
        <f ca="1">IFERROR(__xludf.DUMFUNCTION("GOOGLETRANSLATE(A3999,""id"",""en"")"),"re -premium people think of the stupid people")</f>
        <v>re -premium people think of the stupid people</v>
      </c>
    </row>
    <row r="3894" spans="1:2" x14ac:dyDescent="0.2">
      <c r="A3894" s="1" t="s">
        <v>387</v>
      </c>
      <c r="B3894" s="1" t="str">
        <f ca="1">IFERROR(__xludf.DUMFUNCTION("GOOGLETRANSLATE(A4000,""id"",""en"")"),"understand, min thanks")</f>
        <v>understand, min thanks</v>
      </c>
    </row>
    <row r="3895" spans="1:2" x14ac:dyDescent="0.2">
      <c r="A3895" s="1" t="s">
        <v>1258</v>
      </c>
      <c r="B3895" s="1" t="str">
        <f ca="1">IFERROR(__xludf.DUMFUNCTION("GOOGLETRANSLATE(A4001,""id"",""en"")"),"if the  gas station gives a cashier booth")</f>
        <v>if the  gas station gives a cashier booth</v>
      </c>
    </row>
    <row r="3896" spans="1:2" x14ac:dyDescent="0.2">
      <c r="A3896" s="1" t="s">
        <v>388</v>
      </c>
      <c r="B3896" s="1" t="str">
        <f ca="1">IFERROR(__xludf.DUMFUNCTION("GOOGLETRANSLATE(A4002,""id"",""en"")"),"Ahok Ahok's work played in Khan Gub DKI")</f>
        <v>Ahok Ahok's work played in Khan Gub DKI</v>
      </c>
    </row>
    <row r="3897" spans="1:2" x14ac:dyDescent="0.2">
      <c r="A3897" s="1" t="s">
        <v>389</v>
      </c>
      <c r="B3897" s="1" t="str">
        <f ca="1">IFERROR(__xludf.DUMFUNCTION("GOOGLETRANSLATE(A4003,""id"",""en"")"),"Starting July People in Bandung Yogyakarta Manado Banjarmasin and Other Cities and Regencies Have to Register Themes")</f>
        <v>Starting July People in Bandung Yogyakarta Manado Banjarmasin and Other Cities and Regencies Have to Register Themes</v>
      </c>
    </row>
    <row r="3898" spans="1:2" x14ac:dyDescent="0.2">
      <c r="A3898" s="1" t="s">
        <v>1259</v>
      </c>
      <c r="B3898" s="1" t="str">
        <f ca="1">IFERROR(__xludf.DUMFUNCTION("GOOGLETRANSLATE(A4004,""id"",""en"")")," how to lose")</f>
        <v xml:space="preserve"> how to lose</v>
      </c>
    </row>
    <row r="3899" spans="1:2" x14ac:dyDescent="0.2">
      <c r="A3899" s="1" t="s">
        <v>1260</v>
      </c>
      <c r="B3899" s="1" t="str">
        <f ca="1">IFERROR(__xludf.DUMFUNCTION("GOOGLETRANSLATE(A4005,""id"",""en"")")," is good effort")</f>
        <v xml:space="preserve"> is good effort</v>
      </c>
    </row>
    <row r="3900" spans="1:2" x14ac:dyDescent="0.2">
      <c r="A3900" s="1" t="s">
        <v>5128</v>
      </c>
      <c r="B3900" s="1" t="str">
        <f ca="1">IFERROR(__xludf.DUMFUNCTION("GOOGLETRANSLATE(A4006,""id"",""en"")"),"discourse of buying fuel subsidies for   application makes it difficult for people to belong to old motorcycle cars.")</f>
        <v>discourse of buying fuel subsidies for   application makes it difficult for people to belong to old motorcycle cars.</v>
      </c>
    </row>
    <row r="3901" spans="1:2" x14ac:dyDescent="0.2">
      <c r="A3901" s="1" t="s">
        <v>5129</v>
      </c>
      <c r="B3901" s="1" t="str">
        <f ca="1">IFERROR(__xludf.DUMFUNCTION("GOOGLETRANSLATE(A4007,""id"",""en"")"),"wkwk indo can not be rich in resistant google friends huawei just slumped sharply support google   how google wkwkwk")</f>
        <v>wkwk indo can not be rich in resistant google friends huawei just slumped sharply support google   how google wkwkwk</v>
      </c>
    </row>
    <row r="3902" spans="1:2" x14ac:dyDescent="0.2">
      <c r="A3902" s="1" t="s">
        <v>1261</v>
      </c>
      <c r="B3902" s="1" t="str">
        <f ca="1">IFERROR(__xludf.DUMFUNCTION("GOOGLETRANSLATE(A4008,""id"",""en"")")," didn't use the Qris yesterday just paid the link")</f>
        <v xml:space="preserve"> didn't use the Qris yesterday just paid the link</v>
      </c>
    </row>
    <row r="3903" spans="1:2" x14ac:dyDescent="0.2">
      <c r="A3903" s="1" t="s">
        <v>1262</v>
      </c>
      <c r="B3903" s="1" t="str">
        <f ca="1">IFERROR(__xludf.DUMFUNCTION("GOOGLETRANSLATE(A4009,""id"",""en"")"),"This is cool  advances")</f>
        <v>This is cool  advances</v>
      </c>
    </row>
    <row r="3904" spans="1:2" x14ac:dyDescent="0.2">
      <c r="A3904" s="1" t="s">
        <v>5130</v>
      </c>
      <c r="B3904" s="1" t="str">
        <f ca="1">IFERROR(__xludf.DUMFUNCTION("GOOGLETRANSLATE(A4010,""id"",""en"")"),"yup stay there using ")</f>
        <v xml:space="preserve">yup stay there using </v>
      </c>
    </row>
    <row r="3905" spans="1:2" x14ac:dyDescent="0.2">
      <c r="A3905" s="1" t="s">
        <v>1263</v>
      </c>
      <c r="B3905" s="1" t="str">
        <f ca="1">IFERROR(__xludf.DUMFUNCTION("GOOGLETRANSLATE(A4011,""id"",""en"")")," the Ahok who holds")</f>
        <v xml:space="preserve"> the Ahok who holds</v>
      </c>
    </row>
    <row r="3906" spans="1:2" x14ac:dyDescent="0.2">
      <c r="A3906" s="1" t="s">
        <v>1264</v>
      </c>
      <c r="B3906" s="1" t="str">
        <f ca="1">IFERROR(__xludf.DUMFUNCTION("GOOGLETRANSLATE(A4012,""id"",""en"")"),"stupid a lot of efforts to sell fuel for 's loss not to retreat people of the country")</f>
        <v>stupid a lot of efforts to sell fuel for 's loss not to retreat people of the country</v>
      </c>
    </row>
    <row r="3907" spans="1:2" x14ac:dyDescent="0.2">
      <c r="A3907" s="1" t="s">
        <v>5131</v>
      </c>
      <c r="B3907" s="1" t="str">
        <f ca="1">IFERROR(__xludf.DUMFUNCTION("GOOGLETRANSLATE(A4013,""id"",""en"")"),"Here is the facts of buying BBM via   Supports Salur BBM Subsidy Sasar according to the target quota, hope")</f>
        <v>Here is the facts of buying BBM via   Supports Salur BBM Subsidy Sasar according to the target quota, hope</v>
      </c>
    </row>
    <row r="3908" spans="1:2" x14ac:dyDescent="0.2">
      <c r="A3908" s="1" t="s">
        <v>390</v>
      </c>
      <c r="B3908" s="1" t="str">
        <f ca="1">IFERROR(__xludf.DUMFUNCTION("GOOGLETRANSLATE(A4014,""id"",""en"")"),"who mumet the gas station employees are auto so the eyes are shaking the number plate")</f>
        <v>who mumet the gas station employees are auto so the eyes are shaking the number plate</v>
      </c>
    </row>
    <row r="3909" spans="1:2" x14ac:dyDescent="0.2">
      <c r="A3909" s="1" t="s">
        <v>1265</v>
      </c>
      <c r="B3909" s="1" t="str">
        <f ca="1">IFERROR(__xludf.DUMFUNCTION("GOOGLETRANSLATE(A4015,""id"",""en"")"),"cc kang bacot who said  just brakes, fortunately the facts are pregnant now")</f>
        <v>cc kang bacot who said  just brakes, fortunately the facts are pregnant now</v>
      </c>
    </row>
    <row r="3910" spans="1:2" x14ac:dyDescent="0.2">
      <c r="A3910" s="1" t="s">
        <v>391</v>
      </c>
      <c r="B3910" s="1" t="str">
        <f ca="1">IFERROR(__xludf.DUMFUNCTION("GOOGLETRANSLATE(A4016,""id"",""en"")"),"good info, min, thank you")</f>
        <v>good info, min, thank you</v>
      </c>
    </row>
    <row r="3911" spans="1:2" x14ac:dyDescent="0.2">
      <c r="A3911" s="1" t="s">
        <v>1266</v>
      </c>
      <c r="B3911" s="1" t="str">
        <f ca="1">IFERROR(__xludf.DUMFUNCTION("GOOGLETRANSLATE(A4017,""id"",""en"")"),"ngersoko  lying ngin ajah")</f>
        <v>ngersoko  lying ngin ajah</v>
      </c>
    </row>
    <row r="3912" spans="1:2" x14ac:dyDescent="0.2">
      <c r="A3912" s="1" t="s">
        <v>5132</v>
      </c>
      <c r="B3912" s="1" t="str">
        <f ca="1">IFERROR(__xludf.DUMFUNCTION("GOOGLETRANSLATE(A4018,""id"",""en"")"),"If you use the gas station, I will collect the AMP payment point,  , it's ok like if you call it a dangerous pump station")</f>
        <v>If you use the gas station, I will collect the AMP payment point,  , it's ok like if you call it a dangerous pump station</v>
      </c>
    </row>
    <row r="3913" spans="1:2" x14ac:dyDescent="0.2">
      <c r="A3913" s="1" t="s">
        <v>3458</v>
      </c>
      <c r="B3913" s="1" t="str">
        <f ca="1">IFERROR(__xludf.DUMFUNCTION("GOOGLETRANSLATE(A4019,""id"",""en"")"),"tight buying fuel Pertalite Solar  Buy BBM must use  July")</f>
        <v>tight buying fuel Pertalite Solar  Buy BBM must use  July</v>
      </c>
    </row>
    <row r="3914" spans="1:2" x14ac:dyDescent="0.2">
      <c r="A3914" s="1" t="s">
        <v>1267</v>
      </c>
      <c r="B3914" s="1" t="str">
        <f ca="1">IFERROR(__xludf.DUMFUNCTION("GOOGLETRANSLATE(A4020,""id"",""en"")"),"the mouth of the toilet spoke honestly  honestly not a thief is published")</f>
        <v>the mouth of the toilet spoke honestly  honestly not a thief is published</v>
      </c>
    </row>
    <row r="3915" spans="1:2" x14ac:dyDescent="0.2">
      <c r="A3915" s="1" t="s">
        <v>392</v>
      </c>
      <c r="B3915" s="1" t="str">
        <f ca="1">IFERROR(__xludf.DUMFUNCTION("GOOGLETRANSLATE(A4021,""id"",""en"")"),"hopefully the front test")</f>
        <v>hopefully the front test</v>
      </c>
    </row>
    <row r="3916" spans="1:2" x14ac:dyDescent="0.2">
      <c r="A3916" s="1" t="s">
        <v>5133</v>
      </c>
      <c r="B3916" s="1" t="str">
        <f ca="1">IFERROR(__xludf.DUMFUNCTION("GOOGLETRANSLATE(A4022,""id"",""en"")"),"  Pertamax Bright Gas joined the    Giveaway Giveaway")</f>
        <v xml:space="preserve">  Pertamax Bright Gas joined the    Giveaway Giveaway</v>
      </c>
    </row>
    <row r="3917" spans="1:2" x14ac:dyDescent="0.2">
      <c r="A3917" s="1" t="s">
        <v>5134</v>
      </c>
      <c r="B3917" s="1" t="str">
        <f ca="1">IFERROR(__xludf.DUMFUNCTION("GOOGLETRANSLATE(A4023,""id"",""en"")"),"Use   Automatic Top Up Link")</f>
        <v>Use   Automatic Top Up Link</v>
      </c>
    </row>
    <row r="3918" spans="1:2" x14ac:dyDescent="0.2">
      <c r="A3918" s="1" t="s">
        <v>393</v>
      </c>
      <c r="B3918" s="1" t="str">
        <f ca="1">IFERROR(__xludf.DUMFUNCTION("GOOGLETRANSLATE(A4024,""id"",""en"")"),"he said the location to match hahaha")</f>
        <v>he said the location to match hahaha</v>
      </c>
    </row>
    <row r="3919" spans="1:2" x14ac:dyDescent="0.2">
      <c r="A3919" s="1" t="s">
        <v>394</v>
      </c>
      <c r="B3919" s="1" t="str">
        <f ca="1">IFERROR(__xludf.DUMFUNCTION("GOOGLETRANSLATE(A4025,""id"",""en"")"),"Indonesian people use mobile data etc. more great maye tongenni people eeehh mate baleee")</f>
        <v>Indonesian people use mobile data etc. more great maye tongenni people eeehh mate baleee</v>
      </c>
    </row>
    <row r="3920" spans="1:2" x14ac:dyDescent="0.2">
      <c r="A3920" s="1" t="s">
        <v>1268</v>
      </c>
      <c r="B3920" s="1" t="str">
        <f ca="1">IFERROR(__xludf.DUMFUNCTION("GOOGLETRANSLATE(A4027,""id"",""en"")")," is successful")</f>
        <v xml:space="preserve"> is successful</v>
      </c>
    </row>
    <row r="3921" spans="1:2" x14ac:dyDescent="0.2">
      <c r="A3921" s="1" t="s">
        <v>1269</v>
      </c>
      <c r="B3921" s="1" t="str">
        <f ca="1">IFERROR(__xludf.DUMFUNCTION("GOOGLETRANSLATE(A4028,""id"",""en"")"),"prohibit the hp gas station to order  that bought gasoline July blame the cellphone means opo")</f>
        <v>prohibit the hp gas station to order  that bought gasoline July blame the cellphone means opo</v>
      </c>
    </row>
    <row r="3922" spans="1:2" x14ac:dyDescent="0.2">
      <c r="A3922" s="1" t="s">
        <v>5135</v>
      </c>
      <c r="B3922" s="1" t="str">
        <f ca="1">IFERROR(__xludf.DUMFUNCTION("GOOGLETRANSLATE(A4029,""id"",""en"")"),"dear for hp fi prohibits gas stations buy pertalite using the hp  application")</f>
        <v>dear for hp fi prohibits gas stations buy pertalite using the hp  application</v>
      </c>
    </row>
    <row r="3923" spans="1:2" x14ac:dyDescent="0.2">
      <c r="A3923" s="1" t="s">
        <v>395</v>
      </c>
      <c r="B3923" s="1" t="str">
        <f ca="1">IFERROR(__xludf.DUMFUNCTION("GOOGLETRANSLATE(A4030,""id"",""en"")"),"complicated")</f>
        <v>complicated</v>
      </c>
    </row>
    <row r="3924" spans="1:2" x14ac:dyDescent="0.2">
      <c r="A3924" s="1" t="s">
        <v>396</v>
      </c>
      <c r="B3924" s="1" t="str">
        <f ca="1">IFERROR(__xludf.DUMFUNCTION("GOOGLETRANSLATE(A4031,""id"",""en"")"),"wise cons of reason")</f>
        <v>wise cons of reason</v>
      </c>
    </row>
    <row r="3925" spans="1:2" x14ac:dyDescent="0.2">
      <c r="A3925" s="1" t="s">
        <v>5136</v>
      </c>
      <c r="B3925" s="1" t="str">
        <f ca="1">IFERROR(__xludf.DUMFUNCTION("GOOGLETRANSLATE(A4032,""id"",""en"")"),"Indonesia Stupid Buy Cooking Oil that Subsidized Using KTP Application Cares Protection Buy BBM Using   Application Hp Hp Hazard Padang Dry Brain Gimanalah")</f>
        <v>Indonesia Stupid Buy Cooking Oil that Subsidized Using KTP Application Cares Protection Buy BBM Using   Application Hp Hp Hazard Padang Dry Brain Gimanalah</v>
      </c>
    </row>
    <row r="3926" spans="1:2" x14ac:dyDescent="0.2">
      <c r="A3926" s="1" t="s">
        <v>397</v>
      </c>
      <c r="B3926" s="1" t="str">
        <f ca="1">IFERROR(__xludf.DUMFUNCTION("GOOGLETRANSLATE(A4033,""id"",""en"")"),"the state regulator does not set the law law is difficult for the people not to umbrella law")</f>
        <v>the state regulator does not set the law law is difficult for the people not to umbrella law</v>
      </c>
    </row>
    <row r="3927" spans="1:2" x14ac:dyDescent="0.2">
      <c r="A3927" s="1" t="s">
        <v>398</v>
      </c>
      <c r="B3927" s="1" t="str">
        <f ca="1">IFERROR(__xludf.DUMFUNCTION("GOOGLETRANSLATE(A4034,""id"",""en"")"),"permission tag")</f>
        <v>permission tag</v>
      </c>
    </row>
    <row r="3928" spans="1:2" x14ac:dyDescent="0.2">
      <c r="A3928" s="1" t="s">
        <v>399</v>
      </c>
      <c r="B3928" s="1" t="str">
        <f ca="1">IFERROR(__xludf.DUMFUNCTION("GOOGLETRANSLATE(A4036,""id"",""en"")"),"July")</f>
        <v>July</v>
      </c>
    </row>
    <row r="3929" spans="1:2" x14ac:dyDescent="0.2">
      <c r="A3929" s="1" t="s">
        <v>400</v>
      </c>
      <c r="B3929" s="1" t="str">
        <f ca="1">IFERROR(__xludf.DUMFUNCTION("GOOGLETRANSLATE(A4037,""id"",""en"")"),"permit tag permit tag")</f>
        <v>permit tag permit tag</v>
      </c>
    </row>
    <row r="3930" spans="1:2" x14ac:dyDescent="0.2">
      <c r="A3930" s="1" t="s">
        <v>1270</v>
      </c>
      <c r="B3930" s="1" t="str">
        <f ca="1">IFERROR(__xludf.DUMFUNCTION("GOOGLETRANSLATE(A4038,""id"",""en"")"),"Think how big people protest Culture Cancel just like that, don't buy  to move Vivo Shell Bp")</f>
        <v>Think how big people protest Culture Cancel just like that, don't buy  to move Vivo Shell Bp</v>
      </c>
    </row>
    <row r="3931" spans="1:2" x14ac:dyDescent="0.2">
      <c r="A3931" s="1" t="s">
        <v>401</v>
      </c>
      <c r="B3931" s="1" t="str">
        <f ca="1">IFERROR(__xludf.DUMFUNCTION("GOOGLETRANSLATE(A4039,""id"",""en"")"),"Check out the Guest Tata Consumer List of BBM Subsidies")</f>
        <v>Check out the Guest Tata Consumer List of BBM Subsidies</v>
      </c>
    </row>
    <row r="3932" spans="1:2" x14ac:dyDescent="0.2">
      <c r="A3932" s="1" t="s">
        <v>1271</v>
      </c>
      <c r="B3932" s="1" t="str">
        <f ca="1">IFERROR(__xludf.DUMFUNCTION("GOOGLETRANSLATE(A4040,""id"",""en"")")," economical victims of complicated people can not wait to buy Pertamax")</f>
        <v xml:space="preserve"> economical victims of complicated people can not wait to buy Pertamax</v>
      </c>
    </row>
    <row r="3933" spans="1:2" x14ac:dyDescent="0.2">
      <c r="A3933" s="1" t="s">
        <v>1272</v>
      </c>
      <c r="B3933" s="1" t="str">
        <f ca="1">IFERROR(__xludf.DUMFUNCTION("GOOGLETRANSLATE(A4041,""id"",""en"")"),"Buy gasoline using an application to buy cooking oil using an application if the internet is rich in korea, not yet the application is not the application, it is difficult to pay so it can't use EMONEY specifically for SOE")</f>
        <v>Buy gasoline using an application to buy cooking oil using an application if the internet is rich in korea, not yet the application is not the application, it is difficult to pay so it can't use EMONEY specifically for SOE</v>
      </c>
    </row>
    <row r="3934" spans="1:2" x14ac:dyDescent="0.2">
      <c r="A3934" s="1" t="s">
        <v>1273</v>
      </c>
      <c r="B3934" s="1" t="str">
        <f ca="1">IFERROR(__xludf.DUMFUNCTION("GOOGLETRANSLATE(A4042,""id"",""en"")"),"Grilled gas station explosion for the HP of 's Salang Salah Salang Salang Salah Wise")</f>
        <v>Grilled gas station explosion for the HP of 's Salang Salah Salang Salang Salah Wise</v>
      </c>
    </row>
    <row r="3935" spans="1:2" x14ac:dyDescent="0.2">
      <c r="A3935" s="1" t="s">
        <v>402</v>
      </c>
      <c r="B3935" s="1" t="str">
        <f ca="1">IFERROR(__xludf.DUMFUNCTION("GOOGLETRANSLATE(A4043,""id"",""en"")"),"the people are easy to set difficult")</f>
        <v>the people are easy to set difficult</v>
      </c>
    </row>
    <row r="3936" spans="1:2" x14ac:dyDescent="0.2">
      <c r="A3936" s="1" t="s">
        <v>5137</v>
      </c>
      <c r="B3936" s="1" t="str">
        <f ca="1">IFERROR(__xludf.DUMFUNCTION("GOOGLETRANSLATE(A4044,""id"",""en"")")," trials the system buying solar platforms  ")</f>
        <v xml:space="preserve"> trials the system buying solar platforms  </v>
      </c>
    </row>
    <row r="3937" spans="1:2" x14ac:dyDescent="0.2">
      <c r="A3937" s="1" t="s">
        <v>5138</v>
      </c>
      <c r="B3937" s="1" t="str">
        <f ca="1">IFERROR(__xludf.DUMFUNCTION("GOOGLETRANSLATE(A4045,""id"",""en"")"),"What are you buying gasoline, you have to use   in the morning, the morning top up, top up the link, if the balance is looking for a hadehhh cash deposit atm")</f>
        <v>What are you buying gasoline, you have to use   in the morning, the morning top up, top up the link, if the balance is looking for a hadehhh cash deposit atm</v>
      </c>
    </row>
    <row r="3938" spans="1:2" x14ac:dyDescent="0.2">
      <c r="A3938" s="1" t="s">
        <v>5139</v>
      </c>
      <c r="B3938" s="1" t="str">
        <f ca="1">IFERROR(__xludf.DUMFUNCTION("GOOGLETRANSLATE(A4046,""id"",""en"")"),"Answer Bright Gas Pertamax   rjbt  Yuk Guys")</f>
        <v>Answer Bright Gas Pertamax   rjbt  Yuk Guys</v>
      </c>
    </row>
    <row r="3939" spans="1:2" x14ac:dyDescent="0.2">
      <c r="A3939" s="1" t="s">
        <v>5140</v>
      </c>
      <c r="B3939" s="1" t="str">
        <f ca="1">IFERROR(__xludf.DUMFUNCTION("GOOGLETRANSLATE(A4047,""id"",""en"")"),"  Bright Gas Pertamax Giveaway rjbt ")</f>
        <v xml:space="preserve">  Bright Gas Pertamax Giveaway rjbt </v>
      </c>
    </row>
    <row r="3940" spans="1:2" x14ac:dyDescent="0.2">
      <c r="A3940" s="1" t="s">
        <v>5141</v>
      </c>
      <c r="B3940" s="1" t="str">
        <f ca="1">IFERROR(__xludf.DUMFUNCTION("GOOGLETRANSLATE(A4048,""id"",""en"")"),"If I copy the developed country, it makes a developed state, then if it is arranged for force to be confused, who bought a solar pertalite using   apps anyway the people who don't use Pertamax")</f>
        <v>If I copy the developed country, it makes a developed state, then if it is arranged for force to be confused, who bought a solar pertalite using   apps anyway the people who don't use Pertamax</v>
      </c>
    </row>
    <row r="3941" spans="1:2" x14ac:dyDescent="0.2">
      <c r="A3941" s="1" t="s">
        <v>1274</v>
      </c>
      <c r="B3941" s="1" t="str">
        <f ca="1">IFERROR(__xludf.DUMFUNCTION("GOOGLETRANSLATE(A4049,""id"",""en"")"),"Ahok's life just brakes  fortunately dear literate")</f>
        <v>Ahok's life just brakes  fortunately dear literate</v>
      </c>
    </row>
    <row r="3942" spans="1:2" x14ac:dyDescent="0.2">
      <c r="A3942" s="1" t="s">
        <v>1275</v>
      </c>
      <c r="B3942" s="1" t="str">
        <f ca="1">IFERROR(__xludf.DUMFUNCTION("GOOGLETRANSLATE(A4050,""id"",""en"")"),"Just buy the Kopetitor  Vivo is slightly different if the shell is more expensive")</f>
        <v>Just buy the Kopetitor  Vivo is slightly different if the shell is more expensive</v>
      </c>
    </row>
    <row r="3943" spans="1:2" x14ac:dyDescent="0.2">
      <c r="A3943" s="1" t="s">
        <v>1276</v>
      </c>
      <c r="B3943" s="1" t="str">
        <f ca="1">IFERROR(__xludf.DUMFUNCTION("GOOGLETRANSLATE(A4051,""id"",""en"")"),"No wonder  is not the antalite of the mother told me to buy an ecer")</f>
        <v>No wonder  is not the antalite of the mother told me to buy an ecer</v>
      </c>
    </row>
    <row r="3944" spans="1:2" x14ac:dyDescent="0.2">
      <c r="A3944" s="1" t="s">
        <v>1277</v>
      </c>
      <c r="B3944" s="1" t="str">
        <f ca="1">IFERROR(__xludf.DUMFUNCTION("GOOGLETRANSLATE(A4052,""id"",""en"")"),"Pan commissioner, the driver destroyed , teaching the stupid people, I will get the stupid explosion, I will get the gas station.")</f>
        <v>Pan commissioner, the driver destroyed , teaching the stupid people, I will get the stupid explosion, I will get the gas station.</v>
      </c>
    </row>
    <row r="3945" spans="1:2" x14ac:dyDescent="0.2">
      <c r="A3945" s="1" t="s">
        <v>1278</v>
      </c>
      <c r="B3945" s="1" t="str">
        <f ca="1">IFERROR(__xludf.DUMFUNCTION("GOOGLETRANSLATE(A4054,""id"",""en"")"),"org like Gin forward how the country deserves  Gr JA Preaching")</f>
        <v>org like Gin forward how the country deserves  Gr JA Preaching</v>
      </c>
    </row>
    <row r="3946" spans="1:2" x14ac:dyDescent="0.2">
      <c r="A3946" s="1" t="s">
        <v>1279</v>
      </c>
      <c r="B3946" s="1" t="str">
        <f ca="1">IFERROR(__xludf.DUMFUNCTION("GOOGLETRANSLATE(A4055,""id"",""en"")")," entered the world's strong oil business")</f>
        <v xml:space="preserve"> entered the world's strong oil business</v>
      </c>
    </row>
    <row r="3947" spans="1:2" x14ac:dyDescent="0.2">
      <c r="A3947" s="1" t="s">
        <v>5142</v>
      </c>
      <c r="B3947" s="1" t="str">
        <f ca="1">IFERROR(__xludf.DUMFUNCTION("GOOGLETRANSLATE(A4056,""id"",""en"")"),"Lost Premium Model Buy  Premium Masy which is complicated to buy the one  said it was lonely interest to be the premium disappear")</f>
        <v>Lost Premium Model Buy  Premium Masy which is complicated to buy the one  said it was lonely interest to be the premium disappear</v>
      </c>
    </row>
    <row r="3948" spans="1:2" x14ac:dyDescent="0.2">
      <c r="A3948" s="1" t="s">
        <v>403</v>
      </c>
      <c r="B3948" s="1" t="str">
        <f ca="1">IFERROR(__xludf.DUMFUNCTION("GOOGLETRANSLATE(A4057,""id"",""en"")"),"already installed the application when filling the gasoline gas station doesn't pay using the application deleted because the bus application is")</f>
        <v>already installed the application when filling the gasoline gas station doesn't pay using the application deleted because the bus application is</v>
      </c>
    </row>
    <row r="3949" spans="1:2" x14ac:dyDescent="0.2">
      <c r="A3949" s="1" t="s">
        <v>1280</v>
      </c>
      <c r="B3949" s="1" t="str">
        <f ca="1">IFERROR(__xludf.DUMFUNCTION("GOOGLETRANSLATE(A4058,""id"",""en"")"),"sorry asmat is not the one who uses  fuel vehicle")</f>
        <v>sorry asmat is not the one who uses  fuel vehicle</v>
      </c>
    </row>
    <row r="3950" spans="1:2" x14ac:dyDescent="0.2">
      <c r="A3950" s="1" t="s">
        <v>5143</v>
      </c>
      <c r="B3950" s="1" t="str">
        <f ca="1">IFERROR(__xludf.DUMFUNCTION("GOOGLETRANSLATE(A4059,""id"",""en"")"),"Just pay using the link, it's not  ready, it's already gay of , it is a real spacious, how do I ask the one who uses the cmn  state apps for the blue board for private yet ready yet")</f>
        <v>Just pay using the link, it's not  ready, it's already gay of , it is a real spacious, how do I ask the one who uses the cmn  state apps for the blue board for private yet ready yet</v>
      </c>
    </row>
    <row r="3951" spans="1:2" x14ac:dyDescent="0.2">
      <c r="A3951" s="1" t="s">
        <v>1281</v>
      </c>
      <c r="B3951" s="1" t="str">
        <f ca="1">IFERROR(__xludf.DUMFUNCTION("GOOGLETRANSLATE(A4061,""id"",""en"")")," is applied for the operation of the oil refinery to build")</f>
        <v xml:space="preserve"> is applied for the operation of the oil refinery to build</v>
      </c>
    </row>
    <row r="3952" spans="1:2" x14ac:dyDescent="0.2">
      <c r="A3952" s="1" t="s">
        <v>404</v>
      </c>
      <c r="B3952" s="1" t="str">
        <f ca="1">IFERROR(__xludf.DUMFUNCTION("GOOGLETRANSLATE(A4062,""id"",""en"")"),"seriously asking for developed countries citizens buy fuel using applications")</f>
        <v>seriously asking for developed countries citizens buy fuel using applications</v>
      </c>
    </row>
    <row r="3953" spans="1:2" x14ac:dyDescent="0.2">
      <c r="A3953" s="1" t="s">
        <v>405</v>
      </c>
      <c r="B3953" s="1" t="str">
        <f ca="1">IFERROR(__xludf.DUMFUNCTION("GOOGLETRANSLATE(A4063,""id"",""en"")"),"Custumer Pertalite")</f>
        <v>Custumer Pertalite</v>
      </c>
    </row>
    <row r="3954" spans="1:2" x14ac:dyDescent="0.2">
      <c r="A3954" s="1" t="s">
        <v>406</v>
      </c>
      <c r="B3954" s="1" t="str">
        <f ca="1">IFERROR(__xludf.DUMFUNCTION("GOOGLETRANSLATE(A4064,""id"",""en"")"),"Kerugisn Total Year Rp")</f>
        <v>Kerugisn Total Year Rp</v>
      </c>
    </row>
    <row r="3955" spans="1:2" x14ac:dyDescent="0.2">
      <c r="A3955" s="1" t="s">
        <v>5144</v>
      </c>
      <c r="B3955" s="1" t="str">
        <f ca="1">IFERROR(__xludf.DUMFUNCTION("GOOGLETRANSLATE(A4065,""id"",""en"")"),"Buy Pertalite Using  's Applilation forbids Playing Hp SPBU MAHA")</f>
        <v>Buy Pertalite Using  's Applilation forbids Playing Hp SPBU MAHA</v>
      </c>
    </row>
    <row r="3956" spans="1:2" x14ac:dyDescent="0.2">
      <c r="A3956" s="1" t="s">
        <v>407</v>
      </c>
      <c r="B3956" s="1" t="str">
        <f ca="1">IFERROR(__xludf.DUMFUNCTION("GOOGLETRANSLATE(A4066,""id"",""en"")"),"Hello")</f>
        <v>Hello</v>
      </c>
    </row>
    <row r="3957" spans="1:2" x14ac:dyDescent="0.2">
      <c r="A3957" s="1" t="s">
        <v>5065</v>
      </c>
      <c r="B3957" s="1" t="str">
        <f ca="1">IFERROR(__xludf.DUMFUNCTION("GOOGLETRANSLATE(A4067,""id"",""en"")"),"  Pertamax Bright Gas Giveaway rjbt ")</f>
        <v xml:space="preserve">  Pertamax Bright Gas Giveaway rjbt </v>
      </c>
    </row>
    <row r="3958" spans="1:2" x14ac:dyDescent="0.2">
      <c r="A3958" s="1" t="s">
        <v>5145</v>
      </c>
      <c r="B3958" s="1" t="str">
        <f ca="1">IFERROR(__xludf.DUMFUNCTION("GOOGLETRANSLATE(A4068,""id"",""en"")"),"gas stations prohibit cellphones if the contents of the gasoline show you already list the web   from  cellphone failed to understand what is explained")</f>
        <v>gas stations prohibit cellphones if the contents of the gasoline show you already list the web   from  cellphone failed to understand what is explained</v>
      </c>
    </row>
    <row r="3959" spans="1:2" x14ac:dyDescent="0.2">
      <c r="A3959" s="1" t="s">
        <v>1282</v>
      </c>
      <c r="B3959" s="1" t="str">
        <f ca="1">IFERROR(__xludf.DUMFUNCTION("GOOGLETRANSLATE(A4069,""id"",""en"")"),"The base of POM  is opening  Mboje Kakean  bureaucracy is quiet Shell Rame dear  to take it")</f>
        <v>The base of POM  is opening  Mboje Kakean  bureaucracy is quiet Shell Rame dear  to take it</v>
      </c>
    </row>
    <row r="3960" spans="1:2" x14ac:dyDescent="0.2">
      <c r="A3960" s="1" t="s">
        <v>1283</v>
      </c>
      <c r="B3960" s="1" t="str">
        <f ca="1">IFERROR(__xludf.DUMFUNCTION("GOOGLETRANSLATE(A4070,""id"",""en"")"),"pros and cons buying fuel subsidies Pertalite solar application  applications Effective Sasar Let's take part in polllingelshinta")</f>
        <v>pros and cons buying fuel subsidies Pertalite solar application  applications Effective Sasar Let's take part in polllingelshinta</v>
      </c>
    </row>
    <row r="3961" spans="1:2" x14ac:dyDescent="0.2">
      <c r="A3961" s="1" t="s">
        <v>1284</v>
      </c>
      <c r="B3961" s="1" t="str">
        <f ca="1">IFERROR(__xludf.DUMFUNCTION("GOOGLETRANSLATE(A4072,""id"",""en"")"),"in  mah pertamini stupid")</f>
        <v>in  mah pertamini stupid</v>
      </c>
    </row>
    <row r="3962" spans="1:2" x14ac:dyDescent="0.2">
      <c r="A3962" s="1" t="s">
        <v>5101</v>
      </c>
      <c r="B3962" s="1" t="str">
        <f ca="1">IFERROR(__xludf.DUMFUNCTION("GOOGLETRANSLATE(A4073,""id"",""en"")")," trials the   July Solutions application to build")</f>
        <v xml:space="preserve"> trials the   July Solutions application to build</v>
      </c>
    </row>
    <row r="3963" spans="1:2" x14ac:dyDescent="0.2">
      <c r="A3963" s="1" t="s">
        <v>5146</v>
      </c>
      <c r="B3963" s="1" t="str">
        <f ca="1">IFERROR(__xludf.DUMFUNCTION("GOOGLETRANSLATE(A4074,""id"",""en"")"),"pertalite for those who are to download the load of   application need a smart cellphone gadget.")</f>
        <v>pertalite for those who are to download the load of   application need a smart cellphone gadget.</v>
      </c>
    </row>
    <row r="3964" spans="1:2" x14ac:dyDescent="0.2">
      <c r="A3964" s="1" t="s">
        <v>408</v>
      </c>
      <c r="B3964" s="1" t="str">
        <f ca="1">IFERROR(__xludf.DUMFUNCTION("GOOGLETRANSLATE(A4075,""id"",""en"")"),"lead tai yaa tai I said tai yaaa if it's dirty the name yaa tai woii corruptors if not voiced the people's votes should resign from the people down the judge")</f>
        <v>lead tai yaa tai I said tai yaaa if it's dirty the name yaa tai woii corruptors if not voiced the people's votes should resign from the people down the judge</v>
      </c>
    </row>
    <row r="3965" spans="1:2" x14ac:dyDescent="0.2">
      <c r="A3965" s="1" t="s">
        <v>5147</v>
      </c>
      <c r="B3965" s="1" t="str">
        <f ca="1">IFERROR(__xludf.DUMFUNCTION("GOOGLETRANSLATE(A4076,""id"",""en"")")," Testing   Solutions Application to Build")</f>
        <v xml:space="preserve"> Testing   Solutions Application to Build</v>
      </c>
    </row>
    <row r="3966" spans="1:2" x14ac:dyDescent="0.2">
      <c r="A3966" s="1" t="s">
        <v>409</v>
      </c>
      <c r="B3966" s="1" t="str">
        <f ca="1">IFERROR(__xludf.DUMFUNCTION("GOOGLETRANSLATE(A4077,""id"",""en"")"),"Buy gasoline rations")</f>
        <v>Buy gasoline rations</v>
      </c>
    </row>
    <row r="3967" spans="1:2" x14ac:dyDescent="0.2">
      <c r="A3967" s="1" t="s">
        <v>1285</v>
      </c>
      <c r="B3967" s="1" t="str">
        <f ca="1">IFERROR(__xludf.DUMFUNCTION("GOOGLETRANSLATE(A4078,""id"",""en"")"),"I think it's the one who means that you have to use the app inu, the bank will now")</f>
        <v>I think it's the one who means that you have to use the app inu, the bank will now</v>
      </c>
    </row>
    <row r="3968" spans="1:2" x14ac:dyDescent="0.2">
      <c r="A3968" s="1" t="s">
        <v>5101</v>
      </c>
      <c r="B3968" s="1" t="str">
        <f ca="1">IFERROR(__xludf.DUMFUNCTION("GOOGLETRANSLATE(A4080,""id"",""en"")")," trials the   July Solutions application to build")</f>
        <v xml:space="preserve"> trials the   July Solutions application to build</v>
      </c>
    </row>
    <row r="3969" spans="1:2" x14ac:dyDescent="0.2">
      <c r="A3969" s="1" t="s">
        <v>1128</v>
      </c>
      <c r="B3969" s="1" t="str">
        <f ca="1">IFERROR(__xludf.DUMFUNCTION("GOOGLETRANSLATE(A4082,""id"",""en"")")," Terpor Esg Operation Oil Refinery Solution to Build")</f>
        <v xml:space="preserve"> Terpor Esg Operation Oil Refinery Solution to Build</v>
      </c>
    </row>
    <row r="3970" spans="1:2" x14ac:dyDescent="0.2">
      <c r="A3970" s="1" t="s">
        <v>1286</v>
      </c>
      <c r="B3970" s="1" t="str">
        <f ca="1">IFERROR(__xludf.DUMFUNCTION("GOOGLETRANSLATE(A4083,""id"",""en"")")," Term The ESG System Operation Oil Refinery Solution to Build")</f>
        <v xml:space="preserve"> Term The ESG System Operation Oil Refinery Solution to Build</v>
      </c>
    </row>
    <row r="3971" spans="1:2" x14ac:dyDescent="0.2">
      <c r="A3971" s="1" t="s">
        <v>1287</v>
      </c>
      <c r="B3971" s="1" t="str">
        <f ca="1">IFERROR(__xludf.DUMFUNCTION("GOOGLETRANSLATE(A4087,""id"",""en"")"),"wisely continued ")</f>
        <v xml:space="preserve">wisely continued </v>
      </c>
    </row>
    <row r="3972" spans="1:2" x14ac:dyDescent="0.2">
      <c r="A3972" s="1" t="s">
        <v>1128</v>
      </c>
      <c r="B3972" s="1" t="str">
        <f ca="1">IFERROR(__xludf.DUMFUNCTION("GOOGLETRANSLATE(A4088,""id"",""en"")")," Terpor Esg Operation Oil Refinery Solution to Build")</f>
        <v xml:space="preserve"> Terpor Esg Operation Oil Refinery Solution to Build</v>
      </c>
    </row>
    <row r="3973" spans="1:2" x14ac:dyDescent="0.2">
      <c r="A3973" s="1" t="s">
        <v>5148</v>
      </c>
      <c r="B3973" s="1" t="str">
        <f ca="1">IFERROR(__xludf.DUMFUNCTION("GOOGLETRANSLATE(A4090,""id"",""en"")"),"  Application Test July Trial Kota Sebar Regency Solutions to build")</f>
        <v xml:space="preserve">  Application Test July Trial Kota Sebar Regency Solutions to build</v>
      </c>
    </row>
    <row r="3974" spans="1:2" x14ac:dyDescent="0.2">
      <c r="A3974" s="1" t="s">
        <v>1288</v>
      </c>
      <c r="B3974" s="1" t="str">
        <f ca="1">IFERROR(__xludf.DUMFUNCTION("GOOGLETRANSLATE(A4092,""id"",""en"")")," Application Present Salur Bbm Sasar Solusi To Build")</f>
        <v xml:space="preserve"> Application Present Salur Bbm Sasar Solusi To Build</v>
      </c>
    </row>
    <row r="3975" spans="1:2" x14ac:dyDescent="0.2">
      <c r="A3975" s="1" t="s">
        <v>1289</v>
      </c>
      <c r="B3975" s="1" t="str">
        <f ca="1">IFERROR(__xludf.DUMFUNCTION("GOOGLETRANSLATE(A4093,""id"",""en"")")," remains ESG in Oil Refinery Operation Solution to build it")</f>
        <v xml:space="preserve"> remains ESG in Oil Refinery Operation Solution to build it</v>
      </c>
    </row>
    <row r="3976" spans="1:2" x14ac:dyDescent="0.2">
      <c r="A3976" s="1" t="s">
        <v>1290</v>
      </c>
      <c r="B3976" s="1" t="str">
        <f ca="1">IFERROR(__xludf.DUMFUNCTION("GOOGLETRANSLATE(A4094,""id"",""en"")"),"Brother Bal takes care of the  event Gapulang react Story using emot nang ngot Patra suite a vacation really yes santuy swimming eh smlem the sister is bought by yes call one one")</f>
        <v>Brother Bal takes care of the  event Gapulang react Story using emot nang ngot Patra suite a vacation really yes santuy swimming eh smlem the sister is bought by yes call one one</v>
      </c>
    </row>
    <row r="3977" spans="1:2" x14ac:dyDescent="0.2">
      <c r="A3977" s="1" t="s">
        <v>1291</v>
      </c>
      <c r="B3977" s="1" t="str">
        <f ca="1">IFERROR(__xludf.DUMFUNCTION("GOOGLETRANSLATE(A4095,""id"",""en"")")," Terpor Esg Operation Oil Refinery Business Operations Solutions To build it")</f>
        <v xml:space="preserve"> Terpor Esg Operation Oil Refinery Business Operations Solutions To build it</v>
      </c>
    </row>
    <row r="3978" spans="1:2" x14ac:dyDescent="0.2">
      <c r="A3978" s="1" t="s">
        <v>5149</v>
      </c>
      <c r="B3978" s="1" t="str">
        <f ca="1">IFERROR(__xludf.DUMFUNCTION("GOOGLETRANSLATE(A4096,""id"",""en"")"),"Trial of the   July Solutions application to build it")</f>
        <v>Trial of the   July Solutions application to build it</v>
      </c>
    </row>
    <row r="3979" spans="1:2" x14ac:dyDescent="0.2">
      <c r="A3979" s="1" t="s">
        <v>1292</v>
      </c>
      <c r="B3979" s="1" t="str">
        <f ca="1">IFERROR(__xludf.DUMFUNCTION("GOOGLETRANSLATE(A4097,""id"",""en"")")," is wrong, the energy is supposed to fall, the consumer is high, it saves the target of the year for the maximum limit for the maximum limit")</f>
        <v xml:space="preserve"> is wrong, the energy is supposed to fall, the consumer is high, it saves the target of the year for the maximum limit for the maximum limit</v>
      </c>
    </row>
    <row r="3980" spans="1:2" x14ac:dyDescent="0.2">
      <c r="A3980" s="1" t="s">
        <v>1293</v>
      </c>
      <c r="B3980" s="1" t="str">
        <f ca="1">IFERROR(__xludf.DUMFUNCTION("GOOGLETRANSLATE(A4100,""id"",""en"")"),"PT  Permanent ESG Oil Refinery Solutions to build")</f>
        <v>PT  Permanent ESG Oil Refinery Solutions to build</v>
      </c>
    </row>
    <row r="3981" spans="1:2" x14ac:dyDescent="0.2">
      <c r="A3981" s="1" t="s">
        <v>1294</v>
      </c>
      <c r="B3981" s="1" t="str">
        <f ca="1">IFERROR(__xludf.DUMFUNCTION("GOOGLETRANSLATE(A4101,""id"",""en"")"),"'s KBR is absorbed by ESG in oil refinery operations guys solutions to build")</f>
        <v>'s KBR is absorbed by ESG in oil refinery operations guys solutions to build</v>
      </c>
    </row>
    <row r="3982" spans="1:2" x14ac:dyDescent="0.2">
      <c r="A3982" s="1" t="s">
        <v>1295</v>
      </c>
      <c r="B3982" s="1" t="str">
        <f ca="1">IFERROR(__xludf.DUMFUNCTION("GOOGLETRANSLATE(A4102,""id"",""en"")"),"Yes,  is still an oil refinery operation to build it")</f>
        <v>Yes,  is still an oil refinery operation to build it</v>
      </c>
    </row>
    <row r="3983" spans="1:2" x14ac:dyDescent="0.2">
      <c r="A3983" s="1" t="s">
        <v>1296</v>
      </c>
      <c r="B3983" s="1" t="str">
        <f ca="1">IFERROR(__xludf.DUMFUNCTION("GOOGLETRANSLATE(A4103,""id"",""en"")")," Application Salah Salar Salur Bbnlm Solutions To Build")</f>
        <v xml:space="preserve"> Application Salah Salar Salur Bbnlm Solutions To Build</v>
      </c>
    </row>
    <row r="3984" spans="1:2" x14ac:dyDescent="0.2">
      <c r="A3984" s="1" t="s">
        <v>1128</v>
      </c>
      <c r="B3984" s="1" t="str">
        <f ca="1">IFERROR(__xludf.DUMFUNCTION("GOOGLETRANSLATE(A4105,""id"",""en"")")," Terpor Esg Operation Oil Refinery Solution to Build")</f>
        <v xml:space="preserve"> Terpor Esg Operation Oil Refinery Solution to Build</v>
      </c>
    </row>
    <row r="3985" spans="1:2" x14ac:dyDescent="0.2">
      <c r="A3985" s="1" t="s">
        <v>1297</v>
      </c>
      <c r="B3985" s="1" t="str">
        <f ca="1">IFERROR(__xludf.DUMFUNCTION("GOOGLETRANSLATE(A4106,""id"",""en"")")," Imprigated Esg Operation of Oil Refinery which is like the entire operating area of ​​the solution to build it")</f>
        <v xml:space="preserve"> Imprigated Esg Operation of Oil Refinery which is like the entire operating area of ​​the solution to build it</v>
      </c>
    </row>
    <row r="3986" spans="1:2" x14ac:dyDescent="0.2">
      <c r="A3986" s="1" t="s">
        <v>1128</v>
      </c>
      <c r="B3986" s="1" t="str">
        <f ca="1">IFERROR(__xludf.DUMFUNCTION("GOOGLETRANSLATE(A4109,""id"",""en"")")," Terpor Esg Operation Oil Refinery Solution to Build")</f>
        <v xml:space="preserve"> Terpor Esg Operation Oil Refinery Solution to Build</v>
      </c>
    </row>
    <row r="3987" spans="1:2" x14ac:dyDescent="0.2">
      <c r="A3987" s="1" t="s">
        <v>5150</v>
      </c>
      <c r="B3987" s="1" t="str">
        <f ca="1">IFERROR(__xludf.DUMFUNCTION("GOOGLETRANSLATE(A4110,""id"",""en"")"),"Trial of the   City Application Sebar Ina Province Solutions to build it")</f>
        <v>Trial of the   City Application Sebar Ina Province Solutions to build it</v>
      </c>
    </row>
    <row r="3988" spans="1:2" x14ac:dyDescent="0.2">
      <c r="A3988" s="1" t="s">
        <v>1298</v>
      </c>
      <c r="B3988" s="1" t="str">
        <f ca="1">IFERROR(__xludf.DUMFUNCTION("GOOGLETRANSLATE(A4111,""id"",""en"")")," Terpor Esg Operation Oil Refinery Solution To build it with VLCKW")</f>
        <v xml:space="preserve"> Terpor Esg Operation Oil Refinery Solution To build it with VLCKW</v>
      </c>
    </row>
    <row r="3989" spans="1:2" x14ac:dyDescent="0.2">
      <c r="A3989" s="1" t="s">
        <v>1299</v>
      </c>
      <c r="B3989" s="1" t="str">
        <f ca="1">IFERROR(__xludf.DUMFUNCTION("GOOGLETRANSLATE(A4112,""id"",""en"")")," Terpor Esg Operation of Indonesian Advanced Oil Refinery Solutions to build it")</f>
        <v xml:space="preserve"> Terpor Esg Operation of Indonesian Advanced Oil Refinery Solutions to build it</v>
      </c>
    </row>
    <row r="3990" spans="1:2" x14ac:dyDescent="0.2">
      <c r="A3990" s="1" t="s">
        <v>1128</v>
      </c>
      <c r="B3990" s="1" t="str">
        <f ca="1">IFERROR(__xludf.DUMFUNCTION("GOOGLETRANSLATE(A4116,""id"",""en"")")," Terpor Esg Operation Oil Refinery Solution to Build")</f>
        <v xml:space="preserve"> Terpor Esg Operation Oil Refinery Solution to Build</v>
      </c>
    </row>
    <row r="3991" spans="1:2" x14ac:dyDescent="0.2">
      <c r="A3991" s="1" t="s">
        <v>1128</v>
      </c>
      <c r="B3991" s="1" t="str">
        <f ca="1">IFERROR(__xludf.DUMFUNCTION("GOOGLETRANSLATE(A4120,""id"",""en"")")," Terpor Esg Operation Oil Refinery Solution to Build")</f>
        <v xml:space="preserve"> Terpor Esg Operation Oil Refinery Solution to Build</v>
      </c>
    </row>
    <row r="3992" spans="1:2" x14ac:dyDescent="0.2">
      <c r="A3992" s="1" t="s">
        <v>5101</v>
      </c>
      <c r="B3992" s="1" t="str">
        <f ca="1">IFERROR(__xludf.DUMFUNCTION("GOOGLETRANSLATE(A4121,""id"",""en"")")," trials the   July Solutions application to build")</f>
        <v xml:space="preserve"> trials the   July Solutions application to build</v>
      </c>
    </row>
    <row r="3993" spans="1:2" x14ac:dyDescent="0.2">
      <c r="A3993" s="1" t="s">
        <v>1300</v>
      </c>
      <c r="B3993" s="1" t="str">
        <f ca="1">IFERROR(__xludf.DUMFUNCTION("GOOGLETRANSLATE(A4122,""id"",""en"")"),"Solution To build  ESGE ESGE Operation Oil Refinery")</f>
        <v>Solution To build  ESGE ESGE Operation Oil Refinery</v>
      </c>
    </row>
    <row r="3994" spans="1:2" x14ac:dyDescent="0.2">
      <c r="A3994" s="1" t="s">
        <v>1128</v>
      </c>
      <c r="B3994" s="1" t="str">
        <f ca="1">IFERROR(__xludf.DUMFUNCTION("GOOGLETRANSLATE(A4123,""id"",""en"")")," Terpor Esg Operation Oil Refinery Solution to Build")</f>
        <v xml:space="preserve"> Terpor Esg Operation Oil Refinery Solution to Build</v>
      </c>
    </row>
    <row r="3995" spans="1:2" x14ac:dyDescent="0.2">
      <c r="A3995" s="1" t="s">
        <v>5151</v>
      </c>
      <c r="B3995" s="1" t="str">
        <f ca="1">IFERROR(__xludf.DUMFUNCTION("GOOGLETRANSLATE(A4125,""id"",""en"")")," Testing  July Application Solutions To build")</f>
        <v xml:space="preserve"> Testing  July Application Solutions To build</v>
      </c>
    </row>
    <row r="3996" spans="1:2" x14ac:dyDescent="0.2">
      <c r="A3996" s="1" t="s">
        <v>1301</v>
      </c>
      <c r="B3996" s="1" t="str">
        <f ca="1">IFERROR(__xludf.DUMFUNCTION("GOOGLETRANSLATE(A4127,""id"",""en"")")," Permanent ESG Operation of Wise Oil Refinery Continue Lingkung PT KPI Jajar Directors who are like the area of ​​operation of the business solution to build it")</f>
        <v xml:space="preserve"> Permanent ESG Operation of Wise Oil Refinery Continue Lingkung PT KPI Jajar Directors who are like the area of ​​operation of the business solution to build it</v>
      </c>
    </row>
    <row r="3997" spans="1:2" x14ac:dyDescent="0.2">
      <c r="A3997" s="1" t="s">
        <v>5149</v>
      </c>
      <c r="B3997" s="1" t="str">
        <f ca="1">IFERROR(__xludf.DUMFUNCTION("GOOGLETRANSLATE(A4128,""id"",""en"")"),"Trial of the   July Solutions application to build it")</f>
        <v>Trial of the   July Solutions application to build it</v>
      </c>
    </row>
    <row r="3998" spans="1:2" x14ac:dyDescent="0.2">
      <c r="A3998" s="1" t="s">
        <v>1302</v>
      </c>
      <c r="B3998" s="1" t="str">
        <f ca="1">IFERROR(__xludf.DUMFUNCTION("GOOGLETRANSLATE(A4130,""id"",""en"")")," is expanded by ESG Operation Oil Refinery Solution to build it")</f>
        <v xml:space="preserve"> is expanded by ESG Operation Oil Refinery Solution to build it</v>
      </c>
    </row>
    <row r="3999" spans="1:2" x14ac:dyDescent="0.2">
      <c r="A3999" s="1" t="s">
        <v>1303</v>
      </c>
      <c r="B3999" s="1" t="str">
        <f ca="1">IFERROR(__xludf.DUMFUNCTION("GOOGLETRANSLATE(A4132,""id"",""en"")")," Terpor Esg Operation Oil Refinery Laksana Business Operations Solutions To build")</f>
        <v xml:space="preserve"> Terpor Esg Operation Oil Refinery Laksana Business Operations Solutions To build</v>
      </c>
    </row>
    <row r="4000" spans="1:2" x14ac:dyDescent="0.2">
      <c r="A4000" s="1" t="s">
        <v>1304</v>
      </c>
      <c r="B4000" s="1" t="str">
        <f ca="1">IFERROR(__xludf.DUMFUNCTION("GOOGLETRANSLATE(A4134,""id"",""en"")"),"good job ya  the results of the absorption of ESG Operation Oil Refinery Solution to build it")</f>
        <v>good job ya  the results of the absorption of ESG Operation Oil Refinery Solution to build it</v>
      </c>
    </row>
    <row r="4001" spans="1:2" x14ac:dyDescent="0.2">
      <c r="A4001" s="1" t="s">
        <v>1305</v>
      </c>
      <c r="B4001" s="1" t="str">
        <f ca="1">IFERROR(__xludf.DUMFUNCTION("GOOGLETRANSLATE(A4136,""id"",""en"")"),"If so  delete the sign")</f>
        <v>If so  delete the sign</v>
      </c>
    </row>
    <row r="4002" spans="1:2" x14ac:dyDescent="0.2">
      <c r="A4002" s="1" t="s">
        <v>1306</v>
      </c>
      <c r="B4002" s="1" t="str">
        <f ca="1">IFERROR(__xludf.DUMFUNCTION("GOOGLETRANSLATE(A4137,""id"",""en"")"),"'s appreciation")</f>
        <v>'s appreciation</v>
      </c>
    </row>
    <row r="4003" spans="1:2" x14ac:dyDescent="0.2">
      <c r="A4003" s="1" t="s">
        <v>1307</v>
      </c>
      <c r="B4003" s="1" t="str">
        <f ca="1">IFERROR(__xludf.DUMFUNCTION("GOOGLETRANSLATE(A4138,""id"",""en"")"),"Dizzy Arrange Wise  Tular Tai Komut")</f>
        <v>Dizzy Arrange Wise  Tular Tai Komut</v>
      </c>
    </row>
    <row r="4004" spans="1:2" x14ac:dyDescent="0.2">
      <c r="A4004" s="1" t="s">
        <v>410</v>
      </c>
      <c r="B4004" s="1" t="str">
        <f ca="1">IFERROR(__xludf.DUMFUNCTION("GOOGLETRANSLATE(A4139,""id"",""en"")"),"Bagus Bagus Awas Space SUBSIDY SUBSID SUBSID")</f>
        <v>Bagus Bagus Awas Space SUBSIDY SUBSID SUBSID</v>
      </c>
    </row>
    <row r="4005" spans="1:2" x14ac:dyDescent="0.2">
      <c r="A4005" s="1" t="s">
        <v>411</v>
      </c>
      <c r="B4005" s="1" t="str">
        <f ca="1">IFERROR(__xludf.DUMFUNCTION("GOOGLETRANSLATE(A4140,""id"",""en"")"),"Kek Amp")</f>
        <v>Kek Amp</v>
      </c>
    </row>
    <row r="4006" spans="1:2" x14ac:dyDescent="0.2">
      <c r="A4006" s="1" t="s">
        <v>412</v>
      </c>
      <c r="B4006" s="1" t="str">
        <f ca="1">IFERROR(__xludf.DUMFUNCTION("GOOGLETRANSLATE(A4141,""id"",""en"")"),"Test for a moment download the application")</f>
        <v>Test for a moment download the application</v>
      </c>
    </row>
    <row r="4007" spans="1:2" x14ac:dyDescent="0.2">
      <c r="A4007" s="1" t="s">
        <v>1308</v>
      </c>
      <c r="B4007" s="1" t="str">
        <f ca="1">IFERROR(__xludf.DUMFUNCTION("GOOGLETRANSLATE(A4142,""id"",""en"")"),"people who are palace  are smart, clever, clever")</f>
        <v>people who are palace  are smart, clever, clever</v>
      </c>
    </row>
    <row r="4008" spans="1:2" x14ac:dyDescent="0.2">
      <c r="A4008" s="1" t="s">
        <v>1309</v>
      </c>
      <c r="B4008" s="1" t="str">
        <f ca="1">IFERROR(__xludf.DUMFUNCTION("GOOGLETRANSLATE(A4143,""id"",""en"")")," is cool")</f>
        <v xml:space="preserve"> is cool</v>
      </c>
    </row>
    <row r="4009" spans="1:2" x14ac:dyDescent="0.2">
      <c r="A4009" s="1" t="s">
        <v>413</v>
      </c>
      <c r="B4009" s="1" t="str">
        <f ca="1">IFERROR(__xludf.DUMFUNCTION("GOOGLETRANSLATE(A4144,""id"",""en"")"),"area")</f>
        <v>area</v>
      </c>
    </row>
    <row r="4010" spans="1:2" x14ac:dyDescent="0.2">
      <c r="A4010" s="1" t="s">
        <v>414</v>
      </c>
      <c r="B4010" s="1" t="str">
        <f ca="1">IFERROR(__xludf.DUMFUNCTION("GOOGLETRANSLATE(A4145,""id"",""en"")"),"mentally a country of corruption")</f>
        <v>mentally a country of corruption</v>
      </c>
    </row>
    <row r="4011" spans="1:2" x14ac:dyDescent="0.2">
      <c r="A4011" s="1" t="s">
        <v>415</v>
      </c>
      <c r="B4011" s="1" t="str">
        <f ca="1">IFERROR(__xludf.DUMFUNCTION("GOOGLETRANSLATE(A4146,""id"",""en"")"),"Come on Gas Download Buru List")</f>
        <v>Come on Gas Download Buru List</v>
      </c>
    </row>
    <row r="4012" spans="1:2" x14ac:dyDescent="0.2">
      <c r="A4012" s="1" t="s">
        <v>1310</v>
      </c>
      <c r="B4012" s="1" t="str">
        <f ca="1">IFERROR(__xludf.DUMFUNCTION("GOOGLETRANSLATE(A4147,""id"",""en"")"),"'s spirit")</f>
        <v>'s spirit</v>
      </c>
    </row>
    <row r="4013" spans="1:2" x14ac:dyDescent="0.2">
      <c r="A4013" s="1" t="s">
        <v>1311</v>
      </c>
      <c r="B4013" s="1" t="str">
        <f ca="1">IFERROR(__xludf.DUMFUNCTION("GOOGLETRANSLATE(A4148,""id"",""en"")"),"Mon Maap Family Bandung Regency Kampung Ga PM  Gasoline")</f>
        <v>Mon Maap Family Bandung Regency Kampung Ga PM  Gasoline</v>
      </c>
    </row>
    <row r="4014" spans="1:2" x14ac:dyDescent="0.2">
      <c r="A4014" s="1" t="s">
        <v>1312</v>
      </c>
      <c r="B4014" s="1" t="str">
        <f ca="1">IFERROR(__xludf.DUMFUNCTION("GOOGLETRANSLATE(A4149,""id"",""en"")")," salute")</f>
        <v xml:space="preserve"> salute</v>
      </c>
    </row>
    <row r="4015" spans="1:2" x14ac:dyDescent="0.2">
      <c r="A4015" s="1" t="s">
        <v>1313</v>
      </c>
      <c r="B4015" s="1" t="str">
        <f ca="1">IFERROR(__xludf.DUMFUNCTION("GOOGLETRANSLATE(A4150,""id"",""en"")"),"Support ")</f>
        <v xml:space="preserve">Support </v>
      </c>
    </row>
    <row r="4016" spans="1:2" x14ac:dyDescent="0.2">
      <c r="A4016" s="1" t="s">
        <v>1314</v>
      </c>
      <c r="B4016" s="1" t="str">
        <f ca="1">IFERROR(__xludf.DUMFUNCTION("GOOGLETRANSLATE(A4151,""id"",""en"")"),"I can't play the cellphone of POM  Video Maen Mobile and then  Waah Waah Kadrun Kadrun Kadrun Kadrun Kadrun  BtsintheSeom Islamophobia Casetcichp Ashokgehlot")</f>
        <v>I can't play the cellphone of POM  Video Maen Mobile and then  Waah Waah Kadrun Kadrun Kadrun Kadrun Kadrun  BtsintheSeom Islamophobia Casetcichp Ashokgehlot</v>
      </c>
    </row>
    <row r="4017" spans="1:2" x14ac:dyDescent="0.2">
      <c r="A4017" s="1" t="s">
        <v>416</v>
      </c>
      <c r="B4017" s="1" t="str">
        <f ca="1">IFERROR(__xludf.DUMFUNCTION("GOOGLETRANSLATE(A4152,""id"",""en"")"),"Use Difficult Applications for Potential Potential Gas Station Wisely Wisely MJD MJD SPBU Netbook Laptop Connection that Lies Server For Input Police Number Kendara Fill in Solar Pertalite")</f>
        <v>Use Difficult Applications for Potential Potential Gas Station Wisely Wisely MJD MJD SPBU Netbook Laptop Connection that Lies Server For Input Police Number Kendara Fill in Solar Pertalite</v>
      </c>
    </row>
    <row r="4018" spans="1:2" x14ac:dyDescent="0.2">
      <c r="A4018" s="1" t="s">
        <v>417</v>
      </c>
      <c r="B4018" s="1" t="str">
        <f ca="1">IFERROR(__xludf.DUMFUNCTION("GOOGLETRANSLATE(A4153,""id"",""en"")"),"Ahox strategy")</f>
        <v>Ahox strategy</v>
      </c>
    </row>
    <row r="4019" spans="1:2" x14ac:dyDescent="0.2">
      <c r="A4019" s="1" t="s">
        <v>1315</v>
      </c>
      <c r="B4019" s="1" t="str">
        <f ca="1">IFERROR(__xludf.DUMFUNCTION("GOOGLETRANSLATE(A4154,""id"",""en"")"),"already complicated, where is it using protection care to buy bengsin using  app tomorrow")</f>
        <v>already complicated, where is it using protection care to buy bengsin using  app tomorrow</v>
      </c>
    </row>
    <row r="4020" spans="1:2" x14ac:dyDescent="0.2">
      <c r="A4020" s="1" t="s">
        <v>1316</v>
      </c>
      <c r="B4020" s="1" t="str">
        <f ca="1">IFERROR(__xludf.DUMFUNCTION("GOOGLETRANSLATE(A4155,""id"",""en"")"),"the core who uses the apple person is just if the layman of thousands of people who understand are counted using the fingers of the smart people, choose Pertamax , don't think about the direction, yes")</f>
        <v>the core who uses the apple person is just if the layman of thousands of people who understand are counted using the fingers of the smart people, choose Pertamax , don't think about the direction, yes</v>
      </c>
    </row>
    <row r="4021" spans="1:2" x14ac:dyDescent="0.2">
      <c r="A4021" s="1" t="s">
        <v>1317</v>
      </c>
      <c r="B4021" s="1" t="str">
        <f ca="1">IFERROR(__xludf.DUMFUNCTION("GOOGLETRANSLATE(A4156,""id"",""en"")")," must buy Pertalite Solar List of the July Website")</f>
        <v xml:space="preserve"> must buy Pertalite Solar List of the July Website</v>
      </c>
    </row>
    <row r="4022" spans="1:2" x14ac:dyDescent="0.2">
      <c r="A4022" s="1" t="s">
        <v>1318</v>
      </c>
      <c r="B4022" s="1" t="str">
        <f ca="1">IFERROR(__xludf.DUMFUNCTION("GOOGLETRANSLATE(A4157,""id"",""en"")")," Loss of Trillion KPK State Money Check Ahok")</f>
        <v xml:space="preserve"> Loss of Trillion KPK State Money Check Ahok</v>
      </c>
    </row>
    <row r="4023" spans="1:2" x14ac:dyDescent="0.2">
      <c r="A4023" s="1" t="s">
        <v>5152</v>
      </c>
      <c r="B4023" s="1" t="str">
        <f ca="1">IFERROR(__xludf.DUMFUNCTION("GOOGLETRANSLATE(A4158,""id"",""en"")"),"Already a trial of the former Karawang gas station paid using   eh the gas station did not accept hadeh")</f>
        <v>Already a trial of the former Karawang gas station paid using   eh the gas station did not accept hadeh</v>
      </c>
    </row>
    <row r="4024" spans="1:2" x14ac:dyDescent="0.2">
      <c r="A4024" s="1" t="s">
        <v>5153</v>
      </c>
      <c r="B4024" s="1" t="str">
        <f ca="1">IFERROR(__xludf.DUMFUNCTION("GOOGLETRANSLATE(A4159,""id"",""en"")"),"List of vehicles to buy Pertalite   Roda Application List yesterday Riweuh Open the website list, yes wheel")</f>
        <v>List of vehicles to buy Pertalite   Roda Application List yesterday Riweuh Open the website list, yes wheel</v>
      </c>
    </row>
    <row r="4025" spans="1:2" x14ac:dyDescent="0.2">
      <c r="A4025" s="1" t="s">
        <v>5154</v>
      </c>
      <c r="B4025" s="1" t="str">
        <f ca="1">IFERROR(__xludf.DUMFUNCTION("GOOGLETRANSLATE(A4160,""id"",""en"")"),"  gas station written forbidding the hp")</f>
        <v xml:space="preserve">  gas station written forbidding the hp</v>
      </c>
    </row>
    <row r="4026" spans="1:2" x14ac:dyDescent="0.2">
      <c r="A4026" s="1" t="s">
        <v>418</v>
      </c>
      <c r="B4026" s="1" t="str">
        <f ca="1">IFERROR(__xludf.DUMFUNCTION("GOOGLETRANSLATE(A4161,""id"",""en"")"),"how come the commut komut former prisoners are difficult")</f>
        <v>how come the commut komut former prisoners are difficult</v>
      </c>
    </row>
    <row r="4027" spans="1:2" x14ac:dyDescent="0.2">
      <c r="A4027" s="1" t="s">
        <v>419</v>
      </c>
      <c r="B4027" s="1" t="str">
        <f ca="1">IFERROR(__xludf.DUMFUNCTION("GOOGLETRANSLATE(A4162,""id"",""en"")"),"hahaha wait ahead of the picture delete ma")</f>
        <v>hahaha wait ahead of the picture delete ma</v>
      </c>
    </row>
    <row r="4028" spans="1:2" x14ac:dyDescent="0.2">
      <c r="A4028" s="1" t="s">
        <v>1319</v>
      </c>
      <c r="B4028" s="1" t="str">
        <f ca="1">IFERROR(__xludf.DUMFUNCTION("GOOGLETRANSLATE(A4163,""id"",""en"")"),"disturbing the obstacle of the net open the apk requires the Cash of  smart people to order except for KKN, the intention is wise")</f>
        <v>disturbing the obstacle of the net open the apk requires the Cash of  smart people to order except for KKN, the intention is wise</v>
      </c>
    </row>
    <row r="4029" spans="1:2" x14ac:dyDescent="0.2">
      <c r="A4029" s="1" t="s">
        <v>420</v>
      </c>
      <c r="B4029" s="1" t="str">
        <f ca="1">IFERROR(__xludf.DUMFUNCTION("GOOGLETRANSLATE(A4164,""id"",""en"")"),"Kr there ahok the son of God Minister does not dare to open regulations")</f>
        <v>Kr there ahok the son of God Minister does not dare to open regulations</v>
      </c>
    </row>
    <row r="4030" spans="1:2" x14ac:dyDescent="0.2">
      <c r="A4030" s="1" t="s">
        <v>1320</v>
      </c>
      <c r="B4030" s="1" t="str">
        <f ca="1">IFERROR(__xludf.DUMFUNCTION("GOOGLETRANSLATE(A4165,""id"",""en"")"),"'s crazy work with psti will queue up and buy pertalite alas reducing subsidies but is willing to see the heat in the heart of not knowing that the technology is not a vaccine that is not a vaccine.")</f>
        <v>'s crazy work with psti will queue up and buy pertalite alas reducing subsidies but is willing to see the heat in the heart of not knowing that the technology is not a vaccine that is not a vaccine.</v>
      </c>
    </row>
    <row r="4031" spans="1:2" x14ac:dyDescent="0.2">
      <c r="A4031" s="1" t="s">
        <v>1321</v>
      </c>
      <c r="B4031" s="1" t="str">
        <f ca="1">IFERROR(__xludf.DUMFUNCTION("GOOGLETRANSLATE(A4166,""id"",""en"")"),"Bacin Kudus gas station was subject to 's sanctions")</f>
        <v>Bacin Kudus gas station was subject to 's sanctions</v>
      </c>
    </row>
    <row r="4032" spans="1:2" x14ac:dyDescent="0.2">
      <c r="A4032" s="1" t="s">
        <v>1322</v>
      </c>
      <c r="B4032" s="1" t="str">
        <f ca="1">IFERROR(__xludf.DUMFUNCTION("GOOGLETRANSLATE(A4167,""id"",""en"")")," Patra Niaga Trial Trial Buy Pertalite Solar Subsidies to List EnergyToday")</f>
        <v xml:space="preserve"> Patra Niaga Trial Trial Buy Pertalite Solar Subsidies to List EnergyToday</v>
      </c>
    </row>
    <row r="4033" spans="1:2" x14ac:dyDescent="0.2">
      <c r="A4033" s="1" t="s">
        <v>5155</v>
      </c>
      <c r="B4033" s="1" t="str">
        <f ca="1">IFERROR(__xludf.DUMFUNCTION("GOOGLETRANSLATE(A4168,""id"",""en"")")," Monopoly Practice  Application Access Wallet is available")</f>
        <v xml:space="preserve"> Monopoly Practice  Application Access Wallet is available</v>
      </c>
    </row>
    <row r="4034" spans="1:2" x14ac:dyDescent="0.2">
      <c r="A4034" s="1" t="s">
        <v>5156</v>
      </c>
      <c r="B4034" s="1" t="str">
        <f ca="1">IFERROR(__xludf.DUMFUNCTION("GOOGLETRANSLATE(A4169,""id"",""en"")"),"Answer   Pertamax Bright Gas Let's Join  Fb Amp Tiktok Ig Ades")</f>
        <v>Answer   Pertamax Bright Gas Let's Join  Fb Amp Tiktok Ig Ades</v>
      </c>
    </row>
    <row r="4035" spans="1:2" x14ac:dyDescent="0.2">
      <c r="A4035" s="1" t="s">
        <v>1323</v>
      </c>
      <c r="B4035" s="1" t="str">
        <f ca="1">IFERROR(__xludf.DUMFUNCTION("GOOGLETRANSLATE(A4170,""id"",""en"")"),"Urus Raising Selling  Gt Smartphone Mbak Ms. Good Mobile David Gadgetin Dedy Jagat Review Mouldi")</f>
        <v>Urus Raising Selling  Gt Smartphone Mbak Ms. Good Mobile David Gadgetin Dedy Jagat Review Mouldi</v>
      </c>
    </row>
    <row r="4036" spans="1:2" x14ac:dyDescent="0.2">
      <c r="A4036" s="1" t="s">
        <v>5157</v>
      </c>
      <c r="B4036" s="1" t="str">
        <f ca="1">IFERROR(__xludf.DUMFUNCTION("GOOGLETRANSLATE(A4171,""id"",""en"")"),"how come you are foolish when you open  nozzle too, you will open your  instructions forbid opening your cellphone with a certain distance")</f>
        <v>how come you are foolish when you open  nozzle too, you will open your  instructions forbid opening your cellphone with a certain distance</v>
      </c>
    </row>
    <row r="4037" spans="1:2" x14ac:dyDescent="0.2">
      <c r="A4037" s="1" t="s">
        <v>421</v>
      </c>
      <c r="B4037" s="1" t="str">
        <f ca="1">IFERROR(__xludf.DUMFUNCTION("GOOGLETRANSLATE(A4172,""id"",""en"")"),"good job")</f>
        <v>good job</v>
      </c>
    </row>
    <row r="4038" spans="1:2" x14ac:dyDescent="0.2">
      <c r="A4038" s="1" t="s">
        <v>422</v>
      </c>
      <c r="B4038" s="1" t="str">
        <f ca="1">IFERROR(__xludf.DUMFUNCTION("GOOGLETRANSLATE(A4173,""id"",""en"")"),"Super Priority Tourism Area DPSP Borobudur Special Selling Hotel Industry")</f>
        <v>Super Priority Tourism Area DPSP Borobudur Special Selling Hotel Industry</v>
      </c>
    </row>
    <row r="4039" spans="1:2" x14ac:dyDescent="0.2">
      <c r="A4039" s="1" t="s">
        <v>5158</v>
      </c>
      <c r="B4039" s="1" t="str">
        <f ca="1">IFERROR(__xludf.DUMFUNCTION("GOOGLETRANSLATE(A4174,""id"",""en"")"),"if the scan is not queued if the vehicle is rich, the contents are still waiting for the one who is paid for the wheel is rich, just pay using   if it's just quiet")</f>
        <v>if the scan is not queued if the vehicle is rich, the contents are still waiting for the one who is paid for the wheel is rich, just pay using   if it's just quiet</v>
      </c>
    </row>
    <row r="4040" spans="1:2" x14ac:dyDescent="0.2">
      <c r="A4040" s="1" t="s">
        <v>423</v>
      </c>
      <c r="B4040" s="1" t="str">
        <f ca="1">IFERROR(__xludf.DUMFUNCTION("GOOGLETRANSLATE(A4175,""id"",""en"")"),"Efforts to Order BBM Subsidies Said Said Didu Intention to Make Just Making Crowd for Nyinyir Desire")</f>
        <v>Efforts to Order BBM Subsidies Said Said Didu Intention to Make Just Making Crowd for Nyinyir Desire</v>
      </c>
    </row>
    <row r="4041" spans="1:2" x14ac:dyDescent="0.2">
      <c r="A4041" s="1" t="s">
        <v>1324</v>
      </c>
      <c r="B4041" s="1" t="str">
        <f ca="1">IFERROR(__xludf.DUMFUNCTION("GOOGLETRANSLATE(A4176,""id"",""en"")"),"M Error Review Poor  Stars Be Good Application Using People's Orders Must Using Applications")</f>
        <v>M Error Review Poor  Stars Be Good Application Using People's Orders Must Using Applications</v>
      </c>
    </row>
    <row r="4042" spans="1:2" x14ac:dyDescent="0.2">
      <c r="A4042" s="1" t="s">
        <v>424</v>
      </c>
      <c r="B4042" s="1" t="str">
        <f ca="1">IFERROR(__xludf.DUMFUNCTION("GOOGLETRANSLATE(A4177,""id"",""en"")"),"Here")</f>
        <v>Here</v>
      </c>
    </row>
    <row r="4043" spans="1:2" x14ac:dyDescent="0.2">
      <c r="A4043" s="1" t="s">
        <v>1325</v>
      </c>
      <c r="B4043" s="1" t="str">
        <f ca="1">IFERROR(__xludf.DUMFUNCTION("GOOGLETRANSLATE(A4178,""id"",""en"")")," enters the top strongest oil amp gas brands appreciation of energy")</f>
        <v xml:space="preserve"> enters the top strongest oil amp gas brands appreciation of energy</v>
      </c>
    </row>
    <row r="4044" spans="1:2" x14ac:dyDescent="0.2">
      <c r="A4044" s="1" t="s">
        <v>1326</v>
      </c>
      <c r="B4044" s="1" t="str">
        <f ca="1">IFERROR(__xludf.DUMFUNCTION("GOOGLETRANSLATE(A4179,""id"",""en"")"),"I'm just confused, I am a Pertamax user who has used a system that is completely online.")</f>
        <v>I'm just confused, I am a Pertamax user who has used a system that is completely online.</v>
      </c>
    </row>
    <row r="4045" spans="1:2" x14ac:dyDescent="0.2">
      <c r="A4045" s="1" t="s">
        <v>1327</v>
      </c>
      <c r="B4045" s="1" t="str">
        <f ca="1">IFERROR(__xludf.DUMFUNCTION("GOOGLETRANSLATE(A4180,""id"",""en"")")," continued")</f>
        <v xml:space="preserve"> continued</v>
      </c>
    </row>
    <row r="4046" spans="1:2" x14ac:dyDescent="0.2">
      <c r="A4046" s="1" t="s">
        <v>1328</v>
      </c>
      <c r="B4046" s="1" t="str">
        <f ca="1">IFERROR(__xludf.DUMFUNCTION("GOOGLETRANSLATE(A4181,""id"",""en"")")," is complicated, the base of the gas must be able to logbook and FC KTP buy, just check the data")</f>
        <v xml:space="preserve"> is complicated, the base of the gas must be able to logbook and FC KTP buy, just check the data</v>
      </c>
    </row>
    <row r="4047" spans="1:2" x14ac:dyDescent="0.2">
      <c r="A4047" s="1" t="s">
        <v>5159</v>
      </c>
      <c r="B4047" s="1" t="str">
        <f ca="1">IFERROR(__xludf.DUMFUNCTION("GOOGLETRANSLATE(A4182,""id"",""en"")"),"The contents of the motorbike using   eh the response apps, how come  signal is good")</f>
        <v>The contents of the motorbike using   eh the response apps, how come  signal is good</v>
      </c>
    </row>
    <row r="4048" spans="1:2" x14ac:dyDescent="0.2">
      <c r="A4048" s="1" t="s">
        <v>1002</v>
      </c>
      <c r="B4048" s="1" t="str">
        <f ca="1">IFERROR(__xludf.DUMFUNCTION("GOOGLETRANSLATE(A4183,""id"",""en"")"),"Price List of Pertalite Pertamax  Indonesia SPBU")</f>
        <v>Price List of Pertalite Pertamax  Indonesia SPBU</v>
      </c>
    </row>
    <row r="4049" spans="1:2" x14ac:dyDescent="0.2">
      <c r="A4049" s="1" t="s">
        <v>1329</v>
      </c>
      <c r="B4049" s="1" t="str">
        <f ca="1">IFERROR(__xludf.DUMFUNCTION("GOOGLETRANSLATE(A4184,""id"",""en"")"),"so that the  doesn't lose, don't you claim to have a profit of a large amount of profit, the history of  is not made meme julid, it's safe")</f>
        <v>so that the  doesn't lose, don't you claim to have a profit of a large amount of profit, the history of  is not made meme julid, it's safe</v>
      </c>
    </row>
    <row r="4050" spans="1:2" x14ac:dyDescent="0.2">
      <c r="A4050" s="1" t="s">
        <v>1330</v>
      </c>
      <c r="B4050" s="1" t="str">
        <f ca="1">IFERROR(__xludf.DUMFUNCTION("GOOGLETRANSLATE(A4185,""id"",""en"")"),"told the Minister of  Jabat to guard the gas station")</f>
        <v>told the Minister of  Jabat to guard the gas station</v>
      </c>
    </row>
    <row r="4051" spans="1:2" x14ac:dyDescent="0.2">
      <c r="A4051" s="1" t="s">
        <v>425</v>
      </c>
      <c r="B4051" s="1" t="str">
        <f ca="1">IFERROR(__xludf.DUMFUNCTION("GOOGLETRANSLATE(A4186,""id"",""en"")"),"login")</f>
        <v>login</v>
      </c>
    </row>
    <row r="4052" spans="1:2" x14ac:dyDescent="0.2">
      <c r="A4052" s="1" t="s">
        <v>1331</v>
      </c>
      <c r="B4052" s="1" t="str">
        <f ca="1">IFERROR(__xludf.DUMFUNCTION("GOOGLETRANSLATE(A4187,""id"",""en"")"),"People who work in the cleaner are good at shame people who subsidized people who don't use gadgets to know the application don't understand")</f>
        <v>People who work in the cleaner are good at shame people who subsidized people who don't use gadgets to know the application don't understand</v>
      </c>
    </row>
    <row r="4053" spans="1:2" x14ac:dyDescent="0.2">
      <c r="A4053" s="1" t="s">
        <v>426</v>
      </c>
      <c r="B4053" s="1" t="str">
        <f ca="1">IFERROR(__xludf.DUMFUNCTION("GOOGLETRANSLATE(A4188,""id"",""en"")"),"to set woeee")</f>
        <v>to set woeee</v>
      </c>
    </row>
    <row r="4054" spans="1:2" x14ac:dyDescent="0.2">
      <c r="A4054" s="1" t="s">
        <v>1332</v>
      </c>
      <c r="B4054" s="1" t="str">
        <f ca="1">IFERROR(__xludf.DUMFUNCTION("GOOGLETRANSLATE(A4189,""id"",""en"")"),"good achievement of  fruit work energytoday")</f>
        <v>good achievement of  fruit work energytoday</v>
      </c>
    </row>
    <row r="4055" spans="1:2" x14ac:dyDescent="0.2">
      <c r="A4055" s="1" t="s">
        <v>1333</v>
      </c>
      <c r="B4055" s="1" t="str">
        <f ca="1">IFERROR(__xludf.DUMFUNCTION("GOOGLETRANSLATE(A4190,""id"",""en"")"),"detikNetwork Price List Pertalite Pertamax  Indonesia SPBU HT")</f>
        <v>detikNetwork Price List Pertalite Pertamax  Indonesia SPBU HT</v>
      </c>
    </row>
    <row r="4056" spans="1:2" x14ac:dyDescent="0.2">
      <c r="A4056" s="1" t="s">
        <v>1334</v>
      </c>
      <c r="B4056" s="1" t="str">
        <f ca="1">IFERROR(__xludf.DUMFUNCTION("GOOGLETRANSLATE(A4191,""id"",""en"")"),"Dasco  sells broad socialization in via")</f>
        <v>Dasco  sells broad socialization in via</v>
      </c>
    </row>
    <row r="4057" spans="1:2" x14ac:dyDescent="0.2">
      <c r="A4057" s="1" t="s">
        <v>5160</v>
      </c>
      <c r="B4057" s="1" t="str">
        <f ca="1">IFERROR(__xludf.DUMFUNCTION("GOOGLETRANSLATE(A4192,""id"",""en"")"),"it's hard to   later buy a tab wkwk")</f>
        <v>it's hard to   later buy a tab wkwk</v>
      </c>
    </row>
    <row r="4058" spans="1:2" x14ac:dyDescent="0.2">
      <c r="A4058" s="1" t="s">
        <v>1335</v>
      </c>
      <c r="B4058" s="1" t="str">
        <f ca="1">IFERROR(__xludf.DUMFUNCTION("GOOGLETRANSLATE(A4194,""id"",""en"")"),"Cool  Entering Strong Oil Business")</f>
        <v>Cool  Entering Strong Oil Business</v>
      </c>
    </row>
    <row r="4059" spans="1:2" x14ac:dyDescent="0.2">
      <c r="A4059" s="1" t="s">
        <v>1336</v>
      </c>
      <c r="B4059" s="1" t="str">
        <f ca="1">IFERROR(__xludf.DUMFUNCTION("GOOGLETRANSLATE(A4195,""id"",""en"")")," trial Patra Niaga service Pertalite Solar to list EnergyToday")</f>
        <v xml:space="preserve"> trial Patra Niaga service Pertalite Solar to list EnergyToday</v>
      </c>
    </row>
    <row r="4060" spans="1:2" x14ac:dyDescent="0.2">
      <c r="A4060" s="1" t="s">
        <v>1337</v>
      </c>
      <c r="B4060" s="1" t="str">
        <f ca="1">IFERROR(__xludf.DUMFUNCTION("GOOGLETRANSLATE(A4196,""id"",""en"")"),"Thinking participate in managing KM Migor Harun Mas Asabri BLBI Garuda  etc.")</f>
        <v>Thinking participate in managing KM Migor Harun Mas Asabri BLBI Garuda  etc.</v>
      </c>
    </row>
    <row r="4061" spans="1:2" x14ac:dyDescent="0.2">
      <c r="A4061" s="1" t="s">
        <v>427</v>
      </c>
      <c r="B4061" s="1" t="str">
        <f ca="1">IFERROR(__xludf.DUMFUNCTION("GOOGLETRANSLATE(A4197,""id"",""en"")"),"Socialization of Set which is clearly the public to set the fanfare of Laku used to maintain")</f>
        <v>Socialization of Set which is clearly the public to set the fanfare of Laku used to maintain</v>
      </c>
    </row>
    <row r="4062" spans="1:2" x14ac:dyDescent="0.2">
      <c r="A4062" s="1" t="s">
        <v>428</v>
      </c>
      <c r="B4062" s="1" t="str">
        <f ca="1">IFERROR(__xludf.DUMFUNCTION("GOOGLETRANSLATE(A4198,""id"",""en"")"),"The contents of the tar tar on eating bakwan said ja")</f>
        <v>The contents of the tar tar on eating bakwan said ja</v>
      </c>
    </row>
    <row r="4063" spans="1:2" x14ac:dyDescent="0.2">
      <c r="A4063" s="1" t="s">
        <v>1338</v>
      </c>
      <c r="B4063" s="1" t="str">
        <f ca="1">IFERROR(__xludf.DUMFUNCTION("GOOGLETRANSLATE(A4199,""id"",""en"")"),"PT  MOR VIII Shame Papua revealed because the queue of the SPBU SPBU in Jayapura Regency, Papua, ")</f>
        <v xml:space="preserve">PT  MOR VIII Shame Papua revealed because the queue of the SPBU SPBU in Jayapura Regency, Papua, </v>
      </c>
    </row>
    <row r="4064" spans="1:2" x14ac:dyDescent="0.2">
      <c r="A4064" s="1" t="s">
        <v>5161</v>
      </c>
      <c r="B4064" s="1" t="str">
        <f ca="1">IFERROR(__xludf.DUMFUNCTION("GOOGLETRANSLATE(A4200,""id"",""en"")"),"Brain liver is hard to try to protest well, and buying BBM,   application, buy a mihor using a protected set that makes it complicated to buy it needs")</f>
        <v>Brain liver is hard to try to protest well, and buying BBM,   application, buy a mihor using a protected set that makes it complicated to buy it needs</v>
      </c>
    </row>
    <row r="4065" spans="1:2" x14ac:dyDescent="0.2">
      <c r="A4065" s="1" t="s">
        <v>1339</v>
      </c>
      <c r="B4065" s="1" t="str">
        <f ca="1">IFERROR(__xludf.DUMFUNCTION("GOOGLETRANSLATE(A4201,""id"",""en"")"),"It is not wrong, if  loses, so the deposit from where is the complete data from writing discourse")</f>
        <v>It is not wrong, if  loses, so the deposit from where is the complete data from writing discourse</v>
      </c>
    </row>
    <row r="4066" spans="1:2" x14ac:dyDescent="0.2">
      <c r="A4066" s="1" t="s">
        <v>1340</v>
      </c>
      <c r="B4066" s="1" t="str">
        <f ca="1">IFERROR(__xludf.DUMFUNCTION("GOOGLETRANSLATE(A4202,""id"",""en"")"),"tired good  work forward energy flower energy")</f>
        <v>tired good  work forward energy flower energy</v>
      </c>
    </row>
    <row r="4067" spans="1:2" x14ac:dyDescent="0.2">
      <c r="A4067" s="1" t="s">
        <v>5162</v>
      </c>
      <c r="B4067" s="1" t="str">
        <f ca="1">IFERROR(__xludf.DUMFUNCTION("GOOGLETRANSLATE(A4203,""id"",""en"")"),"Yes, Barti Evaluation Entering 's Criticism Just Make  ")</f>
        <v xml:space="preserve">Yes, Barti Evaluation Entering 's Criticism Just Make  </v>
      </c>
    </row>
    <row r="4068" spans="1:2" x14ac:dyDescent="0.2">
      <c r="A4068" s="1" t="s">
        <v>5163</v>
      </c>
      <c r="B4068" s="1" t="str">
        <f ca="1">IFERROR(__xludf.DUMFUNCTION("GOOGLETRANSLATE(A4204,""id"",""en"")"),"plans for the provincial terprapher   application")</f>
        <v>plans for the provincial terprapher   application</v>
      </c>
    </row>
    <row r="4069" spans="1:2" x14ac:dyDescent="0.2">
      <c r="A4069" s="1" t="s">
        <v>1341</v>
      </c>
      <c r="B4069" s="1" t="str">
        <f ca="1">IFERROR(__xludf.DUMFUNCTION("GOOGLETRANSLATE(A4205,""id"",""en"")")," Patra Niaga Trial Servants Buy Pertalite Solar Application")</f>
        <v xml:space="preserve"> Patra Niaga Trial Servants Buy Pertalite Solar Application</v>
      </c>
    </row>
    <row r="4070" spans="1:2" x14ac:dyDescent="0.2">
      <c r="A4070" s="1" t="s">
        <v>1342</v>
      </c>
      <c r="B4070" s="1" t="str">
        <f ca="1">IFERROR(__xludf.DUMFUNCTION("GOOGLETRANSLATE(A4206,""id"",""en"")"),"Happy ")</f>
        <v xml:space="preserve">Happy </v>
      </c>
    </row>
    <row r="4071" spans="1:2" x14ac:dyDescent="0.2">
      <c r="A4071" s="1" t="s">
        <v>429</v>
      </c>
      <c r="B4071" s="1" t="str">
        <f ca="1">IFERROR(__xludf.DUMFUNCTION("GOOGLETRANSLATE(A4207,""id"",""en"")"),"just the roowednesia, please make me late, replace the regime")</f>
        <v>just the roowednesia, please make me late, replace the regime</v>
      </c>
    </row>
    <row r="4072" spans="1:2" x14ac:dyDescent="0.2">
      <c r="A4072" s="1" t="s">
        <v>1343</v>
      </c>
      <c r="B4072" s="1" t="str">
        <f ca="1">IFERROR(__xludf.DUMFUNCTION("GOOGLETRANSLATE(A4208,""id"",""en"")"),"plan for the provincial trial web application for the provincial trial")</f>
        <v>plan for the provincial trial web application for the provincial trial</v>
      </c>
    </row>
    <row r="4073" spans="1:2" x14ac:dyDescent="0.2">
      <c r="A4073" s="1" t="s">
        <v>1344</v>
      </c>
      <c r="B4073" s="1" t="str">
        <f ca="1">IFERROR(__xludf.DUMFUNCTION("GOOGLETRANSLATE(A4209,""id"",""en"")"),"Trial Build  Applications")</f>
        <v>Trial Build  Applications</v>
      </c>
    </row>
    <row r="4074" spans="1:2" x14ac:dyDescent="0.2">
      <c r="A4074" s="1" t="s">
        <v>1345</v>
      </c>
      <c r="B4074" s="1" t="str">
        <f ca="1">IFERROR(__xludf.DUMFUNCTION("GOOGLETRANSLATE(A4210,""id"",""en"")"),"Mantap  entered the world's strong oil business")</f>
        <v>Mantap  entered the world's strong oil business</v>
      </c>
    </row>
    <row r="4075" spans="1:2" x14ac:dyDescent="0.2">
      <c r="A4075" s="1" t="s">
        <v>5164</v>
      </c>
      <c r="B4075" s="1" t="str">
        <f ca="1">IFERROR(__xludf.DUMFUNCTION("GOOGLETRANSLATE(A4211,""id"",""en"")"),"yes   who are the regions")</f>
        <v>yes   who are the regions</v>
      </c>
    </row>
    <row r="4076" spans="1:2" x14ac:dyDescent="0.2">
      <c r="A4076" s="1" t="s">
        <v>1346</v>
      </c>
      <c r="B4076" s="1" t="str">
        <f ca="1">IFERROR(__xludf.DUMFUNCTION("GOOGLETRANSLATE(A4212,""id"",""en"")")," Patra Niaga Testing Pertalite Solar Application")</f>
        <v xml:space="preserve"> Patra Niaga Testing Pertalite Solar Application</v>
      </c>
    </row>
    <row r="4077" spans="1:2" x14ac:dyDescent="0.2">
      <c r="A4077" s="1" t="s">
        <v>430</v>
      </c>
      <c r="B4077" s="1" t="str">
        <f ca="1">IFERROR(__xludf.DUMFUNCTION("GOOGLETRANSLATE(A4213,""id"",""en"")"),"Proud of the ATM Machine Stars the result of selling state assets ahlak noble hopefully")</f>
        <v>Proud of the ATM Machine Stars the result of selling state assets ahlak noble hopefully</v>
      </c>
    </row>
    <row r="4078" spans="1:2" x14ac:dyDescent="0.2">
      <c r="A4078" s="1" t="s">
        <v>1279</v>
      </c>
      <c r="B4078" s="1" t="str">
        <f ca="1">IFERROR(__xludf.DUMFUNCTION("GOOGLETRANSLATE(A4214,""id"",""en"")")," entered the world's strong oil business")</f>
        <v xml:space="preserve"> entered the world's strong oil business</v>
      </c>
    </row>
    <row r="4079" spans="1:2" x14ac:dyDescent="0.2">
      <c r="A4079" s="1" t="s">
        <v>5165</v>
      </c>
      <c r="B4079" s="1" t="str">
        <f ca="1">IFERROR(__xludf.DUMFUNCTION("GOOGLETRANSLATE(A4215,""id"",""en"")"),"Use the Bang Bang Card Name of Indonesia Liquid Card Urus On Line Pk   Card can be liter day if mw full tank borrow cards with mbl it makes sense not bossman")</f>
        <v>Use the Bang Bang Card Name of Indonesia Liquid Card Urus On Line Pk   Card can be liter day if mw full tank borrow cards with mbl it makes sense not bossman</v>
      </c>
    </row>
    <row r="4080" spans="1:2" x14ac:dyDescent="0.2">
      <c r="A4080" s="1" t="s">
        <v>1347</v>
      </c>
      <c r="B4080" s="1" t="str">
        <f ca="1">IFERROR(__xludf.DUMFUNCTION("GOOGLETRANSLATE(A4216,""id"",""en"")"),"happy deck doesn't go  using hooray apk huh")</f>
        <v>happy deck doesn't go  using hooray apk huh</v>
      </c>
    </row>
    <row r="4081" spans="1:2" x14ac:dyDescent="0.2">
      <c r="A4081" s="1" t="s">
        <v>5166</v>
      </c>
      <c r="B4081" s="1" t="str">
        <f ca="1">IFERROR(__xludf.DUMFUNCTION("GOOGLETRANSLATE(A4217,""id"",""en"")"),"AD is wrong like 's Communication for the   application to buy a Solar Pertalite which if on July, the Indonesian gas station July")</f>
        <v>AD is wrong like 's Communication for the   application to buy a Solar Pertalite which if on July, the Indonesian gas station July</v>
      </c>
    </row>
    <row r="4082" spans="1:2" x14ac:dyDescent="0.2">
      <c r="A4082" s="1" t="s">
        <v>1348</v>
      </c>
      <c r="B4082" s="1" t="str">
        <f ca="1">IFERROR(__xludf.DUMFUNCTION("GOOGLETRANSLATE(A4218,""id"",""en"")"),"Shell Pom with a green color forgot the name not retail not buying  Kapok if")</f>
        <v>Shell Pom with a green color forgot the name not retail not buying  Kapok if</v>
      </c>
    </row>
    <row r="4083" spans="1:2" x14ac:dyDescent="0.2">
      <c r="A4083" s="1" t="s">
        <v>1349</v>
      </c>
      <c r="B4083" s="1" t="str">
        <f ca="1">IFERROR(__xludf.DUMFUNCTION("GOOGLETRANSLATE(A4219,""id"",""en"")"),"July tomorrow, God willing, the Provincial trials will play  application")</f>
        <v>July tomorrow, God willing, the Provincial trials will play  application</v>
      </c>
    </row>
    <row r="4084" spans="1:2" x14ac:dyDescent="0.2">
      <c r="A4084" s="1" t="s">
        <v>5167</v>
      </c>
      <c r="B4084" s="1" t="str">
        <f ca="1">IFERROR(__xludf.DUMFUNCTION("GOOGLETRANSLATE(A4220,""id"",""en"")"),"Tata Consumer List of   Application")</f>
        <v>Tata Consumer List of   Application</v>
      </c>
    </row>
    <row r="4085" spans="1:2" x14ac:dyDescent="0.2">
      <c r="A4085" s="1" t="s">
        <v>1350</v>
      </c>
      <c r="B4085" s="1" t="str">
        <f ca="1">IFERROR(__xludf.DUMFUNCTION("GOOGLETRANSLATE(A4221,""id"",""en"")")," One of the World's Strong Oil and Gas Efforts")</f>
        <v xml:space="preserve"> One of the World's Strong Oil and Gas Efforts</v>
      </c>
    </row>
    <row r="4086" spans="1:2" x14ac:dyDescent="0.2">
      <c r="A4086" s="1" t="s">
        <v>5168</v>
      </c>
      <c r="B4086" s="1" t="str">
        <f ca="1">IFERROR(__xludf.DUMFUNCTION("GOOGLETRANSLATE(A4222,""id"",""en"")"),"Make a complicated country after Pertalite  ")</f>
        <v xml:space="preserve">Make a complicated country after Pertalite  </v>
      </c>
    </row>
    <row r="4087" spans="1:2" x14ac:dyDescent="0.2">
      <c r="A4087" s="1" t="s">
        <v>431</v>
      </c>
      <c r="B4087" s="1" t="str">
        <f ca="1">IFERROR(__xludf.DUMFUNCTION("GOOGLETRANSLATE(A4223,""id"",""en"")"),"PAY PAKA LINK BUY THOUSAND CAR LINK CARE CAR MILLION MILLION CAR LINK BAND MONEY DR GOOD MONEY RESULTS OF PUBLIC MONEY ACCOUNTLY LIPPO GROUP SINGGIAPUE JD SHOUL")</f>
        <v>PAY PAKA LINK BUY THOUSAND CAR LINK CARE CAR MILLION MILLION CAR LINK BAND MONEY DR GOOD MONEY RESULTS OF PUBLIC MONEY ACCOUNTLY LIPPO GROUP SINGGIAPUE JD SHOUL</v>
      </c>
    </row>
    <row r="4088" spans="1:2" x14ac:dyDescent="0.2">
      <c r="A4088" s="1" t="s">
        <v>1351</v>
      </c>
      <c r="B4088" s="1" t="str">
        <f ca="1">IFERROR(__xludf.DUMFUNCTION("GOOGLETRANSLATE(A4224,""id"",""en"")"),"Friendly seniors Wasu ")</f>
        <v xml:space="preserve">Friendly seniors Wasu </v>
      </c>
    </row>
    <row r="4089" spans="1:2" x14ac:dyDescent="0.2">
      <c r="A4089" s="1" t="s">
        <v>1352</v>
      </c>
      <c r="B4089" s="1" t="str">
        <f ca="1">IFERROR(__xludf.DUMFUNCTION("GOOGLETRANSLATE(A4225,""id"",""en"")")," Patra Niaga Trial Servants Pertalite Solar Subsidies to List EnergyToday")</f>
        <v xml:space="preserve"> Patra Niaga Trial Servants Pertalite Solar Subsidies to List EnergyToday</v>
      </c>
    </row>
    <row r="4090" spans="1:2" x14ac:dyDescent="0.2">
      <c r="A4090" s="1" t="s">
        <v>1353</v>
      </c>
      <c r="B4090" s="1" t="str">
        <f ca="1">IFERROR(__xludf.DUMFUNCTION("GOOGLETRANSLATE(A4226,""id"",""en"")")," Patra Niaga Trials Salur fuel fuel fuel subsidized system online list July")</f>
        <v xml:space="preserve"> Patra Niaga Trials Salur fuel fuel fuel subsidized system online list July</v>
      </c>
    </row>
    <row r="4091" spans="1:2" x14ac:dyDescent="0.2">
      <c r="A4091" s="1" t="s">
        <v>1354</v>
      </c>
      <c r="B4091" s="1" t="str">
        <f ca="1">IFERROR(__xludf.DUMFUNCTION("GOOGLETRANSLATE(A4227,""id"",""en"")"),"Cool  Entry of Top Strongest Oil Amp Gas Brands EnergyToday")</f>
        <v>Cool  Entry of Top Strongest Oil Amp Gas Brands EnergyToday</v>
      </c>
    </row>
    <row r="4092" spans="1:2" x14ac:dyDescent="0.2">
      <c r="A4092" s="1" t="s">
        <v>1355</v>
      </c>
      <c r="B4092" s="1" t="str">
        <f ca="1">IFERROR(__xludf.DUMFUNCTION("GOOGLETRANSLATE(A4228,""id"",""en"")"),"wise wise support if you use a steady nik, wise orders forgot to naekin also price so that  does not lose")</f>
        <v>wise wise support if you use a steady nik, wise orders forgot to naekin also price so that  does not lose</v>
      </c>
    </row>
    <row r="4093" spans="1:2" x14ac:dyDescent="0.2">
      <c r="A4093" s="1" t="s">
        <v>263</v>
      </c>
      <c r="B4093" s="1" t="str">
        <f ca="1">IFERROR(__xludf.DUMFUNCTION("GOOGLETRANSLATE(A4229,""id"",""en"")"),"CLOSE STUP")</f>
        <v>CLOSE STUP</v>
      </c>
    </row>
    <row r="4094" spans="1:2" x14ac:dyDescent="0.2">
      <c r="A4094" s="1" t="s">
        <v>5065</v>
      </c>
      <c r="B4094" s="1" t="str">
        <f ca="1">IFERROR(__xludf.DUMFUNCTION("GOOGLETRANSLATE(A4230,""id"",""en"")"),"  Pertamax Bright Gas Giveaway rjbt ")</f>
        <v xml:space="preserve">  Pertamax Bright Gas Giveaway rjbt </v>
      </c>
    </row>
    <row r="4095" spans="1:2" x14ac:dyDescent="0.2">
      <c r="A4095" s="1" t="s">
        <v>1356</v>
      </c>
      <c r="B4095" s="1" t="str">
        <f ca="1">IFERROR(__xludf.DUMFUNCTION("GOOGLETRANSLATE(A4231,""id"",""en"")")," Gada Apps that Install Rangorang Forced Install")</f>
        <v xml:space="preserve"> Gada Apps that Install Rangorang Forced Install</v>
      </c>
    </row>
    <row r="4096" spans="1:2" x14ac:dyDescent="0.2">
      <c r="A4096" s="1" t="s">
        <v>1357</v>
      </c>
      <c r="B4096" s="1" t="str">
        <f ca="1">IFERROR(__xludf.DUMFUNCTION("GOOGLETRANSLATE(A4232,""id"",""en"")"),"Hopefully the success of  Patra Niaga's front trial is smooth energy")</f>
        <v>Hopefully the success of  Patra Niaga's front trial is smooth energy</v>
      </c>
    </row>
    <row r="4097" spans="1:2" x14ac:dyDescent="0.2">
      <c r="A4097" s="1" t="s">
        <v>1358</v>
      </c>
      <c r="B4097" s="1" t="str">
        <f ca="1">IFERROR(__xludf.DUMFUNCTION("GOOGLETRANSLATE(A4233,""id"",""en"")"),"the complicated ones that are the process of registration of luxury red plates, fuel consumption, subsidized, fear that the  system will write an entrepreneur")</f>
        <v>the complicated ones that are the process of registration of luxury red plates, fuel consumption, subsidized, fear that the  system will write an entrepreneur</v>
      </c>
    </row>
    <row r="4098" spans="1:2" x14ac:dyDescent="0.2">
      <c r="A4098" s="1" t="s">
        <v>1359</v>
      </c>
      <c r="B4098" s="1" t="str">
        <f ca="1">IFERROR(__xludf.DUMFUNCTION("GOOGLETRANSLATE(A4234,""id"",""en"")"),"'s achievements enter Top Strongest Oil Amp Gas Brands EnergyToday")</f>
        <v>'s achievements enter Top Strongest Oil Amp Gas Brands EnergyToday</v>
      </c>
    </row>
    <row r="4099" spans="1:2" x14ac:dyDescent="0.2">
      <c r="A4099" s="1" t="s">
        <v>1360</v>
      </c>
      <c r="B4099" s="1" t="str">
        <f ca="1">IFERROR(__xludf.DUMFUNCTION("GOOGLETRANSLATE(A4235,""id"",""en"")"),"retirement to buy a car bal using the name of a child, KTP Tangerang, a car using a  person, not a list of buying a data, the name of the data is different from the car data is really troubled")</f>
        <v>retirement to buy a car bal using the name of a child, KTP Tangerang, a car using a  person, not a list of buying a data, the name of the data is different from the car data is really troubled</v>
      </c>
    </row>
    <row r="4100" spans="1:2" x14ac:dyDescent="0.2">
      <c r="A4100" s="1" t="s">
        <v>432</v>
      </c>
      <c r="B4100" s="1" t="str">
        <f ca="1">IFERROR(__xludf.DUMFUNCTION("GOOGLETRANSLATE(A4236,""id"",""en"")"),"so that the presidential candidate is broken")</f>
        <v>so that the presidential candidate is broken</v>
      </c>
    </row>
    <row r="4101" spans="1:2" x14ac:dyDescent="0.2">
      <c r="A4101" s="1" t="s">
        <v>1361</v>
      </c>
      <c r="B4101" s="1" t="str">
        <f ca="1">IFERROR(__xludf.DUMFUNCTION("GOOGLETRANSLATE(A4237,""id"",""en"")"),"TRUE SAYAN BUY PERTALITE SOLAR SUBSIDI TO LIST OF  PATRA NIAGA ENERGYTODAY")</f>
        <v>TRUE SAYAN BUY PERTALITE SOLAR SUBSIDI TO LIST OF  PATRA NIAGA ENERGYTODAY</v>
      </c>
    </row>
    <row r="4102" spans="1:2" x14ac:dyDescent="0.2">
      <c r="A4102" s="1" t="s">
        <v>5169</v>
      </c>
      <c r="B4102" s="1" t="str">
        <f ca="1">IFERROR(__xludf.DUMFUNCTION("GOOGLETRANSLATE(A4238,""id"",""en"")"),"Dear entering the area of ​​the gas station, the mastery of the cellphone is dead at least a plane mode, afraid of using the gas station area, please fill in the fuel using the  application that is setting")</f>
        <v>Dear entering the area of ​​the gas station, the mastery of the cellphone is dead at least a plane mode, afraid of using the gas station area, please fill in the fuel using the  application that is setting</v>
      </c>
    </row>
    <row r="4103" spans="1:2" x14ac:dyDescent="0.2">
      <c r="A4103" s="1" t="s">
        <v>1362</v>
      </c>
      <c r="B4103" s="1" t="str">
        <f ca="1">IFERROR(__xludf.DUMFUNCTION("GOOGLETRANSLATE(A4239,""id"",""en"")"),"Jaya ")</f>
        <v xml:space="preserve">Jaya </v>
      </c>
    </row>
    <row r="4104" spans="1:2" x14ac:dyDescent="0.2">
      <c r="A4104" s="1" t="s">
        <v>1363</v>
      </c>
      <c r="B4104" s="1" t="str">
        <f ca="1">IFERROR(__xludf.DUMFUNCTION("GOOGLETRANSLATE(A4240,""id"",""en"")")," is included in the Top Strongest Oil Gas Brands EnergyToday list")</f>
        <v xml:space="preserve"> is included in the Top Strongest Oil Gas Brands EnergyToday list</v>
      </c>
    </row>
    <row r="4105" spans="1:2" x14ac:dyDescent="0.2">
      <c r="A4105" s="1" t="s">
        <v>433</v>
      </c>
      <c r="B4105" s="1" t="str">
        <f ca="1">IFERROR(__xludf.DUMFUNCTION("GOOGLETRANSLATE(A4241,""id"",""en"")"),"State full of jlimeettt")</f>
        <v>State full of jlimeettt</v>
      </c>
    </row>
    <row r="4106" spans="1:2" x14ac:dyDescent="0.2">
      <c r="A4106" s="1" t="s">
        <v>434</v>
      </c>
      <c r="B4106" s="1" t="str">
        <f ca="1">IFERROR(__xludf.DUMFUNCTION("GOOGLETRANSLATE(A4242,""id"",""en"")"),"Let's stay there")</f>
        <v>Let's stay there</v>
      </c>
    </row>
    <row r="4107" spans="1:2" x14ac:dyDescent="0.2">
      <c r="A4107" s="1" t="s">
        <v>5170</v>
      </c>
      <c r="B4107" s="1" t="str">
        <f ca="1">IFERROR(__xludf.DUMFUNCTION("GOOGLETRANSLATE(A4243,""id"",""en"")"),"Buru List Balikpapan Province Select the   application trial")</f>
        <v>Buru List Balikpapan Province Select the   application trial</v>
      </c>
    </row>
    <row r="4108" spans="1:2" x14ac:dyDescent="0.2">
      <c r="A4108" s="1" t="s">
        <v>5171</v>
      </c>
      <c r="B4108" s="1" t="str">
        <f ca="1">IFERROR(__xludf.DUMFUNCTION("GOOGLETRANSLATE(A4244,""id"",""en"")"),"  Application Use List Phase")</f>
        <v xml:space="preserve">  Application Use List Phase</v>
      </c>
    </row>
    <row r="4109" spans="1:2" x14ac:dyDescent="0.2">
      <c r="A4109" s="1" t="s">
        <v>5172</v>
      </c>
      <c r="B4109" s="1" t="str">
        <f ca="1">IFERROR(__xludf.DUMFUNCTION("GOOGLETRANSLATE(A4245,""id"",""en"")"),"Trial of the   Juli Application Moga Success")</f>
        <v>Trial of the   Juli Application Moga Success</v>
      </c>
    </row>
    <row r="4110" spans="1:2" x14ac:dyDescent="0.2">
      <c r="A4110" s="1" t="s">
        <v>435</v>
      </c>
      <c r="B4110" s="1" t="str">
        <f ca="1">IFERROR(__xludf.DUMFUNCTION("GOOGLETRANSLATE(A4246,""id"",""en"")"),"The QR scan is complete, the contents of the pump engine stop")</f>
        <v>The QR scan is complete, the contents of the pump engine stop</v>
      </c>
    </row>
    <row r="4111" spans="1:2" x14ac:dyDescent="0.2">
      <c r="A4111" s="1" t="s">
        <v>1364</v>
      </c>
      <c r="B4111" s="1" t="str">
        <f ca="1">IFERROR(__xludf.DUMFUNCTION("GOOGLETRANSLATE(A4247,""id"",""en"")")," Patra Niaga Traditional Test Testing Pertalite Solar Subsidies to List EnergyToday")</f>
        <v xml:space="preserve"> Patra Niaga Traditional Test Testing Pertalite Solar Subsidies to List EnergyToday</v>
      </c>
    </row>
    <row r="4112" spans="1:2" x14ac:dyDescent="0.2">
      <c r="A4112" s="1" t="s">
        <v>1365</v>
      </c>
      <c r="B4112" s="1" t="str">
        <f ca="1">IFERROR(__xludf.DUMFUNCTION("GOOGLETRANSLATE(A4248,""id"",""en"")"),"Alhamdulillah  entered the world's strong oil and gas business")</f>
        <v>Alhamdulillah  entered the world's strong oil and gas business</v>
      </c>
    </row>
    <row r="4113" spans="1:2" x14ac:dyDescent="0.2">
      <c r="A4113" s="1" t="s">
        <v>5173</v>
      </c>
      <c r="B4113" s="1" t="str">
        <f ca="1">IFERROR(__xludf.DUMFUNCTION("GOOGLETRANSLATE(A4249,""id"",""en"")"),"Trial of the Provincial Improvement   Application")</f>
        <v>Trial of the Provincial Improvement   Application</v>
      </c>
    </row>
    <row r="4114" spans="1:2" x14ac:dyDescent="0.2">
      <c r="A4114" s="1" t="s">
        <v>5174</v>
      </c>
      <c r="B4114" s="1" t="str">
        <f ca="1">IFERROR(__xludf.DUMFUNCTION("GOOGLETRANSLATE(A4250,""id"",""en"")"),"Very easy list of vehicles for   application")</f>
        <v>Very easy list of vehicles for   application</v>
      </c>
    </row>
    <row r="4115" spans="1:2" x14ac:dyDescent="0.2">
      <c r="A4115" s="1" t="s">
        <v>1366</v>
      </c>
      <c r="B4115" s="1" t="str">
        <f ca="1">IFERROR(__xludf.DUMFUNCTION("GOOGLETRANSLATE(A4251,""id"",""en"")"),"this is steady to advance  Energytoday business flower")</f>
        <v>this is steady to advance  Energytoday business flower</v>
      </c>
    </row>
    <row r="4116" spans="1:2" x14ac:dyDescent="0.2">
      <c r="A4116" s="1" t="s">
        <v>1367</v>
      </c>
      <c r="B4116" s="1" t="str">
        <f ca="1">IFERROR(__xludf.DUMFUNCTION("GOOGLETRANSLATE(A4252,""id"",""en"")"),"rich real the mouth of the toilet really take care of  literate so")</f>
        <v>rich real the mouth of the toilet really take care of  literate so</v>
      </c>
    </row>
    <row r="4117" spans="1:2" x14ac:dyDescent="0.2">
      <c r="A4117" s="1" t="s">
        <v>1368</v>
      </c>
      <c r="B4117" s="1" t="str">
        <f ca="1">IFERROR(__xludf.DUMFUNCTION("GOOGLETRANSLATE(A4253,""id"",""en"")")," One of the Pandemi Covid Lunches")</f>
        <v xml:space="preserve"> One of the Pandemi Covid Lunches</v>
      </c>
    </row>
    <row r="4118" spans="1:2" x14ac:dyDescent="0.2">
      <c r="A4118" s="1" t="s">
        <v>5175</v>
      </c>
      <c r="B4118" s="1" t="str">
        <f ca="1">IFERROR(__xludf.DUMFUNCTION("GOOGLETRANSLATE(A4254,""id"",""en"")"),"Use a motorcycle buy Pertalite queuing amp liter complicated   application")</f>
        <v>Use a motorcycle buy Pertalite queuing amp liter complicated   application</v>
      </c>
    </row>
    <row r="4119" spans="1:2" x14ac:dyDescent="0.2">
      <c r="A4119" s="1" t="s">
        <v>1369</v>
      </c>
      <c r="B4119" s="1" t="str">
        <f ca="1">IFERROR(__xludf.DUMFUNCTION("GOOGLETRANSLATE(A4255,""id"",""en"")"),"for the maximum  application for the distribution of BBM subsidies in July")</f>
        <v>for the maximum  application for the distribution of BBM subsidies in July</v>
      </c>
    </row>
    <row r="4120" spans="1:2" x14ac:dyDescent="0.2">
      <c r="A4120" s="1" t="s">
        <v>1370</v>
      </c>
      <c r="B4120" s="1" t="str">
        <f ca="1">IFERROR(__xludf.DUMFUNCTION("GOOGLETRANSLATE(A4256,""id"",""en"")"),"Yes, just buy Pertalite Solar using  EnergyToday")</f>
        <v>Yes, just buy Pertalite Solar using  EnergyToday</v>
      </c>
    </row>
    <row r="4121" spans="1:2" x14ac:dyDescent="0.2">
      <c r="A4121" s="1" t="s">
        <v>5176</v>
      </c>
      <c r="B4121" s="1" t="str">
        <f ca="1">IFERROR(__xludf.DUMFUNCTION("GOOGLETRANSLATE(A4257,""id"",""en"")"),"Come on the   application vehicle")</f>
        <v>Come on the   application vehicle</v>
      </c>
    </row>
    <row r="4122" spans="1:2" x14ac:dyDescent="0.2">
      <c r="A4122" s="1" t="s">
        <v>1371</v>
      </c>
      <c r="B4122" s="1" t="str">
        <f ca="1">IFERROR(__xludf.DUMFUNCTION("GOOGLETRANSLATE(A4258,""id"",""en"")"),"Cool  Entering the World Strong Oil Business")</f>
        <v>Cool  Entering the World Strong Oil Business</v>
      </c>
    </row>
    <row r="4123" spans="1:2" x14ac:dyDescent="0.2">
      <c r="A4123" s="1" t="s">
        <v>1372</v>
      </c>
      <c r="B4123" s="1" t="str">
        <f ca="1">IFERROR(__xludf.DUMFUNCTION("GOOGLETRANSLATE(A4259,""id"",""en"")")," trials of six provincial regions")</f>
        <v xml:space="preserve"> trials of six provincial regions</v>
      </c>
    </row>
    <row r="4124" spans="1:2" x14ac:dyDescent="0.2">
      <c r="A4124" s="1" t="s">
        <v>5167</v>
      </c>
      <c r="B4124" s="1" t="str">
        <f ca="1">IFERROR(__xludf.DUMFUNCTION("GOOGLETRANSLATE(A4260,""id"",""en"")"),"Tata Consumer List of   Application")</f>
        <v>Tata Consumer List of   Application</v>
      </c>
    </row>
    <row r="4125" spans="1:2" x14ac:dyDescent="0.2">
      <c r="A4125" s="1" t="s">
        <v>1373</v>
      </c>
      <c r="B4125" s="1" t="str">
        <f ca="1">IFERROR(__xludf.DUMFUNCTION("GOOGLETRANSLATE(A4261,""id"",""en"")"),"For  Test Application July")</f>
        <v>For  Test Application July</v>
      </c>
    </row>
    <row r="4126" spans="1:2" x14ac:dyDescent="0.2">
      <c r="A4126" s="1" t="s">
        <v>5065</v>
      </c>
      <c r="B4126" s="1" t="str">
        <f ca="1">IFERROR(__xludf.DUMFUNCTION("GOOGLETRANSLATE(A4262,""id"",""en"")"),"  Pertamax Bright Gas Giveaway rjbt ")</f>
        <v xml:space="preserve">  Pertamax Bright Gas Giveaway rjbt </v>
      </c>
    </row>
    <row r="4127" spans="1:2" x14ac:dyDescent="0.2">
      <c r="A4127" s="1" t="s">
        <v>1374</v>
      </c>
      <c r="B4127" s="1" t="str">
        <f ca="1">IFERROR(__xludf.DUMFUNCTION("GOOGLETRANSLATE(A4263,""id"",""en"")"),"pros and cons of buying fuel subsidies from Pertalite Solar Application  like an effective Sasar Commissionandaelshinta")</f>
        <v>pros and cons of buying fuel subsidies from Pertalite Solar Application  like an effective Sasar Commissionandaelshinta</v>
      </c>
    </row>
    <row r="4128" spans="1:2" x14ac:dyDescent="0.2">
      <c r="A4128" s="1" t="s">
        <v>1375</v>
      </c>
      <c r="B4128" s="1" t="str">
        <f ca="1">IFERROR(__xludf.DUMFUNCTION("GOOGLETRANSLATE(A4264,""id"",""en"")")," The result of entering a large oil business")</f>
        <v xml:space="preserve"> The result of entering a large oil business</v>
      </c>
    </row>
    <row r="4129" spans="1:2" x14ac:dyDescent="0.2">
      <c r="A4129" s="1" t="s">
        <v>436</v>
      </c>
      <c r="B4129" s="1" t="str">
        <f ca="1">IFERROR(__xludf.DUMFUNCTION("GOOGLETRANSLATE(A4265,""id"",""en"")"),"the country is just taking care of the state or not")</f>
        <v>the country is just taking care of the state or not</v>
      </c>
    </row>
    <row r="4130" spans="1:2" x14ac:dyDescent="0.2">
      <c r="A4130" s="1" t="s">
        <v>437</v>
      </c>
      <c r="B4130" s="1" t="str">
        <f ca="1">IFERROR(__xludf.DUMFUNCTION("GOOGLETRANSLATE(A4266,""id"",""en"")"),"the bobrok jerk regime uses the appropriate adjustment")</f>
        <v>the bobrok jerk regime uses the appropriate adjustment</v>
      </c>
    </row>
    <row r="4131" spans="1:2" x14ac:dyDescent="0.2">
      <c r="A4131" s="1" t="s">
        <v>1376</v>
      </c>
      <c r="B4131" s="1" t="str">
        <f ca="1">IFERROR(__xludf.DUMFUNCTION("GOOGLETRANSLATE(A4267,""id"",""en"")")," Trial Patra Niaga Service for EnergyToday List")</f>
        <v xml:space="preserve"> Trial Patra Niaga Service for EnergyToday List</v>
      </c>
    </row>
    <row r="4132" spans="1:2" x14ac:dyDescent="0.2">
      <c r="A4132" s="1" t="s">
        <v>1377</v>
      </c>
      <c r="B4132" s="1" t="str">
        <f ca="1">IFERROR(__xludf.DUMFUNCTION("GOOGLETRANSLATE(A4268,""id"",""en"")"),"with ")</f>
        <v xml:space="preserve">with </v>
      </c>
    </row>
    <row r="4133" spans="1:2" x14ac:dyDescent="0.2">
      <c r="A4133" s="1" t="s">
        <v>1378</v>
      </c>
      <c r="B4133" s="1" t="str">
        <f ca="1">IFERROR(__xludf.DUMFUNCTION("GOOGLETRANSLATE(A4269,""id"",""en"")"),"Discussion of Intektiktifshinta Pros and pros and buy fuel subsidies Pertalite Solar  Application")</f>
        <v>Discussion of Intektiktifshinta Pros and pros and buy fuel subsidies Pertalite Solar  Application</v>
      </c>
    </row>
    <row r="4134" spans="1:2" x14ac:dyDescent="0.2">
      <c r="A4134" s="1" t="s">
        <v>5177</v>
      </c>
      <c r="B4134" s="1" t="str">
        <f ca="1">IFERROR(__xludf.DUMFUNCTION("GOOGLETRANSLATE(A4270,""id"",""en"")"),"Life is difficult because the financial set that doesn't make sense to buy pertalite using  pert")</f>
        <v>Life is difficult because the financial set that doesn't make sense to buy pertalite using  pert</v>
      </c>
    </row>
    <row r="4135" spans="1:2" x14ac:dyDescent="0.2">
      <c r="A4135" s="1" t="s">
        <v>1379</v>
      </c>
      <c r="B4135" s="1" t="str">
        <f ca="1">IFERROR(__xludf.DUMFUNCTION("GOOGLETRANSLATE(A4271,""id"",""en"")"),"Proud  Enter Top Strongest Oil Amp Gas Brands EnergyToday")</f>
        <v>Proud  Enter Top Strongest Oil Amp Gas Brands EnergyToday</v>
      </c>
    </row>
    <row r="4136" spans="1:2" x14ac:dyDescent="0.2">
      <c r="A4136" s="1" t="s">
        <v>1380</v>
      </c>
      <c r="B4136" s="1" t="str">
        <f ca="1">IFERROR(__xludf.DUMFUNCTION("GOOGLETRANSLATE(A4272,""id"",""en"")")," is incessant to the public to try from no use of subsidized vouchers that are just to buy gasoline")</f>
        <v xml:space="preserve"> is incessant to the public to try from no use of subsidized vouchers that are just to buy gasoline</v>
      </c>
    </row>
    <row r="4137" spans="1:2" x14ac:dyDescent="0.2">
      <c r="A4137" s="1" t="s">
        <v>438</v>
      </c>
      <c r="B4137" s="1" t="str">
        <f ca="1">IFERROR(__xludf.DUMFUNCTION("GOOGLETRANSLATE(A4273,""id"",""en"")"),"Adjust your trash")</f>
        <v>Adjust your trash</v>
      </c>
    </row>
    <row r="4138" spans="1:2" x14ac:dyDescent="0.2">
      <c r="A4138" s="1" t="s">
        <v>439</v>
      </c>
      <c r="B4138" s="1" t="str">
        <f ca="1">IFERROR(__xludf.DUMFUNCTION("GOOGLETRANSLATE(A4274,""id"",""en"")"),"Set the wrong one forbid using a cellphone the location of the gas station, buy pertalite must use the ambyar dech application")</f>
        <v>Set the wrong one forbid using a cellphone the location of the gas station, buy pertalite must use the ambyar dech application</v>
      </c>
    </row>
    <row r="4139" spans="1:2" x14ac:dyDescent="0.2">
      <c r="A4139" s="1" t="s">
        <v>5178</v>
      </c>
      <c r="B4139" s="1" t="str">
        <f ca="1">IFERROR(__xludf.DUMFUNCTION("GOOGLETRANSLATE(A4275,""id"",""en"")"),"up the gt gt buying solar limit with   due to rising raw materials for production costs distribution costs due to rising prices")</f>
        <v>up the gt gt buying solar limit with   due to rising raw materials for production costs distribution costs due to rising prices</v>
      </c>
    </row>
    <row r="4140" spans="1:2" x14ac:dyDescent="0.2">
      <c r="A4140" s="1" t="s">
        <v>5179</v>
      </c>
      <c r="B4140" s="1" t="str">
        <f ca="1">IFERROR(__xludf.DUMFUNCTION("GOOGLETRANSLATE(A4276,""id"",""en"")"),"Don't use KTP, , ain monitor amp scan barecode KTP that fills the  system from there checks consumers who are worthy")</f>
        <v>Don't use KTP, , ain monitor amp scan barecode KTP that fills the  system from there checks consumers who are worthy</v>
      </c>
    </row>
    <row r="4141" spans="1:2" x14ac:dyDescent="0.2">
      <c r="A4141" s="1" t="s">
        <v>1381</v>
      </c>
      <c r="B4141" s="1" t="str">
        <f ca="1">IFERROR(__xludf.DUMFUNCTION("GOOGLETRANSLATE(A4277,""id"",""en"")")," Sasar Subsidy Level Testing Pertalite Solar Trial to List of 's Good Job Good Job")</f>
        <v xml:space="preserve"> Sasar Subsidy Level Testing Pertalite Solar Trial to List of 's Good Job Good Job</v>
      </c>
    </row>
    <row r="4142" spans="1:2" x14ac:dyDescent="0.2">
      <c r="A4142" s="1" t="s">
        <v>1382</v>
      </c>
      <c r="B4142" s="1" t="str">
        <f ca="1">IFERROR(__xludf.DUMFUNCTION("GOOGLETRANSLATE(A4278,""id"",""en"")")," Sasar Subsidy Level Test Pertalite Solar Trial for a Good Efforts List")</f>
        <v xml:space="preserve"> Sasar Subsidy Level Test Pertalite Solar Trial for a Good Efforts List</v>
      </c>
    </row>
    <row r="4143" spans="1:2" x14ac:dyDescent="0.2">
      <c r="A4143" s="1" t="s">
        <v>5180</v>
      </c>
      <c r="B4143" s="1" t="str">
        <f ca="1">IFERROR(__xludf.DUMFUNCTION("GOOGLETRANSLATE(A4279,""id"",""en"")"),"Using  app's app sometimes a bodo gas station employee is confused about the gas station")</f>
        <v>Using  app's app sometimes a bodo gas station employee is confused about the gas station</v>
      </c>
    </row>
    <row r="4144" spans="1:2" x14ac:dyDescent="0.2">
      <c r="A4144" s="1" t="s">
        <v>440</v>
      </c>
      <c r="B4144" s="1" t="str">
        <f ca="1">IFERROR(__xludf.DUMFUNCTION("GOOGLETRANSLATE(A4280,""id"",""en"")"),"make the people complicated dick")</f>
        <v>make the people complicated dick</v>
      </c>
    </row>
    <row r="4145" spans="1:2" x14ac:dyDescent="0.2">
      <c r="A4145" s="1" t="s">
        <v>1383</v>
      </c>
      <c r="B4145" s="1" t="str">
        <f ca="1">IFERROR(__xludf.DUMFUNCTION("GOOGLETRANSLATE(A4281,""id"",""en"")"),"Cool  Sasar Subsidy Level Testing Pertalite Solar Trial for List")</f>
        <v>Cool  Sasar Subsidy Level Testing Pertalite Solar Trial for List</v>
      </c>
    </row>
    <row r="4146" spans="1:2" x14ac:dyDescent="0.2">
      <c r="A4146" s="1" t="s">
        <v>1384</v>
      </c>
      <c r="B4146" s="1" t="str">
        <f ca="1">IFERROR(__xludf.DUMFUNCTION("GOOGLETRANSLATE(A4282,""id"",""en"")"),"GT Cooking Oil Cares for GT  Motorcycle Oil Leech Oil GT GT Dick")</f>
        <v>GT Cooking Oil Cares for GT  Motorcycle Oil Leech Oil GT GT Dick</v>
      </c>
    </row>
    <row r="4147" spans="1:2" x14ac:dyDescent="0.2">
      <c r="A4147" s="1" t="s">
        <v>1385</v>
      </c>
      <c r="B4147" s="1" t="str">
        <f ca="1">IFERROR(__xludf.DUMFUNCTION("GOOGLETRANSLATE(A4283,""id"",""en"")"),"with  Salar Salar Subsidies Testing Pertalite Solar to list the results of the results of the results")</f>
        <v>with  Salar Salar Subsidies Testing Pertalite Solar to list the results of the results of the results</v>
      </c>
    </row>
    <row r="4148" spans="1:2" x14ac:dyDescent="0.2">
      <c r="A4148" s="1" t="s">
        <v>1386</v>
      </c>
      <c r="B4148" s="1" t="str">
        <f ca="1">IFERROR(__xludf.DUMFUNCTION("GOOGLETRANSLATE(A4284,""id"",""en"")")," Sasar Subsidy Level Testing Pertalite Solar Trials to Register Yuk Support Digitalization")</f>
        <v xml:space="preserve"> Sasar Subsidy Level Testing Pertalite Solar Trials to Register Yuk Support Digitalization</v>
      </c>
    </row>
    <row r="4149" spans="1:2" x14ac:dyDescent="0.2">
      <c r="A4149" s="1" t="s">
        <v>1387</v>
      </c>
      <c r="B4149" s="1" t="str">
        <f ca="1">IFERROR(__xludf.DUMFUNCTION("GOOGLETRANSLATE(A4285,""id"",""en"")"),"steady levels of  saradis subsidies trials service services for solar to list it is very compulsory to support")</f>
        <v>steady levels of  saradis subsidies trials service services for solar to list it is very compulsory to support</v>
      </c>
    </row>
    <row r="4150" spans="1:2" x14ac:dyDescent="0.2">
      <c r="A4150" s="1" t="s">
        <v>1388</v>
      </c>
      <c r="B4150" s="1" t="str">
        <f ca="1">IFERROR(__xludf.DUMFUNCTION("GOOGLETRANSLATE(A4286,""id"",""en"")"),"really cool, the level of Sasar  subsidy test trials service service for the list of Sasar Moga")</f>
        <v>really cool, the level of Sasar  subsidy test trials service service for the list of Sasar Moga</v>
      </c>
    </row>
    <row r="4151" spans="1:2" x14ac:dyDescent="0.2">
      <c r="A4151" s="1" t="s">
        <v>1389</v>
      </c>
      <c r="B4151" s="1" t="str">
        <f ca="1">IFERROR(__xludf.DUMFUNCTION("GOOGLETRANSLATE(A4287,""id"",""en"")")," Sasar Subsidy Level Testing Pertalite Solar Trials To List of Good Steps")</f>
        <v xml:space="preserve"> Sasar Subsidy Level Testing Pertalite Solar Trials To List of Good Steps</v>
      </c>
    </row>
    <row r="4152" spans="1:2" x14ac:dyDescent="0.2">
      <c r="A4152" s="1" t="s">
        <v>441</v>
      </c>
      <c r="B4152" s="1" t="str">
        <f ca="1">IFERROR(__xludf.DUMFUNCTION("GOOGLETRANSLATE(A4288,""id"",""en"")"),"the pattern of his canceling")</f>
        <v>the pattern of his canceling</v>
      </c>
    </row>
    <row r="4153" spans="1:2" x14ac:dyDescent="0.2">
      <c r="A4153" s="1" t="s">
        <v>1390</v>
      </c>
      <c r="B4153" s="1" t="str">
        <f ca="1">IFERROR(__xludf.DUMFUNCTION("GOOGLETRANSLATE(A4289,""id"",""en"")"),"Buy Pertalite Using  Applications with Galon Refilling Galon MO State TEST")</f>
        <v>Buy Pertalite Using  Applications with Galon Refilling Galon MO State TEST</v>
      </c>
    </row>
    <row r="4154" spans="1:2" x14ac:dyDescent="0.2">
      <c r="A4154" s="1" t="s">
        <v>1391</v>
      </c>
      <c r="B4154" s="1" t="str">
        <f ca="1">IFERROR(__xludf.DUMFUNCTION("GOOGLETRANSLATE(A4290,""id"",""en"")")," deserves to enter")</f>
        <v xml:space="preserve"> deserves to enter</v>
      </c>
    </row>
    <row r="4155" spans="1:2" x14ac:dyDescent="0.2">
      <c r="A4155" s="1" t="s">
        <v>1392</v>
      </c>
      <c r="B4155" s="1" t="str">
        <f ca="1">IFERROR(__xludf.DUMFUNCTION("GOOGLETRANSLATE(A4291,""id"",""en"")"),"Buy cooking oil with protecting applications for the people's care makes it difficult to make  difficult")</f>
        <v>Buy cooking oil with protecting applications for the people's care makes it difficult to make  difficult</v>
      </c>
    </row>
    <row r="4156" spans="1:2" x14ac:dyDescent="0.2">
      <c r="A4156" s="1" t="s">
        <v>1393</v>
      </c>
      <c r="B4156" s="1" t="str">
        <f ca="1">IFERROR(__xludf.DUMFUNCTION("GOOGLETRANSLATE(A4292,""id"",""en"")"),"This is cool  enters the top strongest oil amp gas brabds energytoday")</f>
        <v>This is cool  enters the top strongest oil amp gas brabds energytoday</v>
      </c>
    </row>
    <row r="4157" spans="1:2" x14ac:dyDescent="0.2">
      <c r="A4157" s="1" t="s">
        <v>5181</v>
      </c>
      <c r="B4157" s="1" t="str">
        <f ca="1">IFERROR(__xludf.DUMFUNCTION("GOOGLETRANSLATE(A4293,""id"",""en"")"),"It's good if your control is really big, Gojek tokped needs a big decade, just the link application,  tsel until now it's not big because the control of the  taon is a wise application.")</f>
        <v>It's good if your control is really big, Gojek tokped needs a big decade, just the link application,  tsel until now it's not big because the control of the  taon is a wise application.</v>
      </c>
    </row>
    <row r="4158" spans="1:2" x14ac:dyDescent="0.2">
      <c r="A4158" s="1" t="s">
        <v>1394</v>
      </c>
      <c r="B4158" s="1" t="str">
        <f ca="1">IFERROR(__xludf.DUMFUNCTION("GOOGLETRANSLATE(A4294,""id"",""en"")"),"Let's look at the list of areas to buy solar pertalite using  EnergyToday")</f>
        <v>Let's look at the list of areas to buy solar pertalite using  EnergyToday</v>
      </c>
    </row>
    <row r="4159" spans="1:2" x14ac:dyDescent="0.2">
      <c r="A4159" s="1" t="s">
        <v>1395</v>
      </c>
      <c r="B4159" s="1" t="str">
        <f ca="1">IFERROR(__xludf.DUMFUNCTION("GOOGLETRANSLATE(A4295,""id"",""en"")"),"Selling Gasoline Bottles are not famous, try to see  I was associated with Join Payfazz Click Link")</f>
        <v>Selling Gasoline Bottles are not famous, try to see  I was associated with Join Payfazz Click Link</v>
      </c>
    </row>
    <row r="4160" spans="1:2" x14ac:dyDescent="0.2">
      <c r="A4160" s="1" t="s">
        <v>442</v>
      </c>
      <c r="B4160" s="1" t="str">
        <f ca="1">IFERROR(__xludf.DUMFUNCTION("GOOGLETRANSLATE(A4296,""id"",""en"")"),"Nitip Puang State people fill in BBM contents using complicated applications for your life")</f>
        <v>Nitip Puang State people fill in BBM contents using complicated applications for your life</v>
      </c>
    </row>
    <row r="4161" spans="1:2" x14ac:dyDescent="0.2">
      <c r="A4161" s="1" t="s">
        <v>1145</v>
      </c>
      <c r="B4161" s="1" t="str">
        <f ca="1">IFERROR(__xludf.DUMFUNCTION("GOOGLETRANSLATE(A4297,""id"",""en"")"),"service trial for the list of  Patra Niaga Energytoday")</f>
        <v>service trial for the list of  Patra Niaga Energytoday</v>
      </c>
    </row>
    <row r="4162" spans="1:2" x14ac:dyDescent="0.2">
      <c r="A4162" s="1" t="s">
        <v>1396</v>
      </c>
      <c r="B4162" s="1" t="str">
        <f ca="1">IFERROR(__xludf.DUMFUNCTION("GOOGLETRANSLATE(A4298,""id"",""en"")")," Jabat Salary Digit wise wise results from Gin doang yaa eug")</f>
        <v xml:space="preserve"> Jabat Salary Digit wise wise results from Gin doang yaa eug</v>
      </c>
    </row>
    <row r="4163" spans="1:2" x14ac:dyDescent="0.2">
      <c r="A4163" s="1" t="s">
        <v>5182</v>
      </c>
      <c r="B4163" s="1" t="str">
        <f ca="1">IFERROR(__xludf.DUMFUNCTION("GOOGLETRANSLATE(A4299,""id"",""en"")"),"Please stop the mechanism for buying BBM subsidies list of  applications not to set the Minister of Energy and Mineral Resources")</f>
        <v>Please stop the mechanism for buying BBM subsidies list of  applications not to set the Minister of Energy and Mineral Resources</v>
      </c>
    </row>
    <row r="4164" spans="1:2" x14ac:dyDescent="0.2">
      <c r="A4164" s="1" t="s">
        <v>1397</v>
      </c>
      <c r="B4164" s="1" t="str">
        <f ca="1">IFERROR(__xludf.DUMFUNCTION("GOOGLETRANSLATE(A4300,""id"",""en"")"),"PT  Persero Limit for Buying BBM Pertalite Solar July")</f>
        <v>PT  Persero Limit for Buying BBM Pertalite Solar July</v>
      </c>
    </row>
    <row r="4165" spans="1:2" x14ac:dyDescent="0.2">
      <c r="A4165" s="1" t="s">
        <v>443</v>
      </c>
      <c r="B4165" s="1" t="str">
        <f ca="1">IFERROR(__xludf.DUMFUNCTION("GOOGLETRANSLATE(A4301,""id"",""en"")"),"Erick Thohir BUMN collar building a giant electric car battery factory three BUMN is PT PLN PT Inalum")</f>
        <v>Erick Thohir BUMN collar building a giant electric car battery factory three BUMN is PT PLN PT Inalum</v>
      </c>
    </row>
    <row r="4166" spans="1:2" x14ac:dyDescent="0.2">
      <c r="A4166" s="1" t="s">
        <v>1398</v>
      </c>
      <c r="B4166" s="1" t="str">
        <f ca="1">IFERROR(__xludf.DUMFUNCTION("GOOGLETRANSLATE(A4302,""id"",""en"")"),"Mantap  Enter Top Strongest Oil Amp Gas Brands EnergyToday")</f>
        <v>Mantap  Enter Top Strongest Oil Amp Gas Brands EnergyToday</v>
      </c>
    </row>
    <row r="4167" spans="1:2" x14ac:dyDescent="0.2">
      <c r="A4167" s="1" t="s">
        <v>444</v>
      </c>
      <c r="B4167" s="1" t="str">
        <f ca="1">IFERROR(__xludf.DUMFUNCTION("GOOGLETRANSLATE(A4303,""id"",""en"")"),"State people fill BBM contents using applications")</f>
        <v>State people fill BBM contents using applications</v>
      </c>
    </row>
    <row r="4168" spans="1:2" x14ac:dyDescent="0.2">
      <c r="A4168" s="1" t="s">
        <v>5183</v>
      </c>
      <c r="B4168" s="1" t="str">
        <f ca="1">IFERROR(__xludf.DUMFUNCTION("GOOGLETRANSLATE(A4304,""id"",""en"")")," is tight requirements for buying fuel Pertalite Solar, one of the  buying fuel")</f>
        <v xml:space="preserve"> is tight requirements for buying fuel Pertalite Solar, one of the  buying fuel</v>
      </c>
    </row>
    <row r="4169" spans="1:2" x14ac:dyDescent="0.2">
      <c r="A4169" s="1" t="s">
        <v>1399</v>
      </c>
      <c r="B4169" s="1" t="str">
        <f ca="1">IFERROR(__xludf.DUMFUNCTION("GOOGLETRANSLATE(A4305,""id"",""en"")"),"Deputy Speaker of the House Sufmi Dasco Ahmad  Socialization of the Burning of Pertalite is required to use AP")</f>
        <v>Deputy Speaker of the House Sufmi Dasco Ahmad  Socialization of the Burning of Pertalite is required to use AP</v>
      </c>
    </row>
    <row r="4170" spans="1:2" x14ac:dyDescent="0.2">
      <c r="A4170" s="1" t="s">
        <v>1400</v>
      </c>
      <c r="B4170" s="1" t="str">
        <f ca="1">IFERROR(__xludf.DUMFUNCTION("GOOGLETRANSLATE(A4306,""id"",""en"")"),"I think  is zero")</f>
        <v>I think  is zero</v>
      </c>
    </row>
    <row r="4171" spans="1:2" x14ac:dyDescent="0.2">
      <c r="A4171" s="1" t="s">
        <v>1401</v>
      </c>
      <c r="B4171" s="1" t="str">
        <f ca="1">IFERROR(__xludf.DUMFUNCTION("GOOGLETRANSLATE(A4307,""id"",""en"")"),"hmm you  like an application for the application for the application")</f>
        <v>hmm you  like an application for the application for the application</v>
      </c>
    </row>
    <row r="4172" spans="1:2" x14ac:dyDescent="0.2">
      <c r="A4172" s="1" t="s">
        <v>445</v>
      </c>
      <c r="B4172" s="1" t="str">
        <f ca="1">IFERROR(__xludf.DUMFUNCTION("GOOGLETRANSLATE(A4308,""id"",""en"")"),"Playing Hp SPBU forbids Fuel Fill Pay Hp Help")</f>
        <v>Playing Hp SPBU forbids Fuel Fill Pay Hp Help</v>
      </c>
    </row>
    <row r="4173" spans="1:2" x14ac:dyDescent="0.2">
      <c r="A4173" s="1" t="s">
        <v>1402</v>
      </c>
      <c r="B4173" s="1" t="str">
        <f ca="1">IFERROR(__xludf.DUMFUNCTION("GOOGLETRANSLATE(A4309,""id"",""en"")"),"Set using the   application, just self service, it's definitely a shell if it's not just a bicycle")</f>
        <v>Set using the   application, just self service, it's definitely a shell if it's not just a bicycle</v>
      </c>
    </row>
    <row r="4174" spans="1:2" x14ac:dyDescent="0.2">
      <c r="A4174" s="1" t="s">
        <v>446</v>
      </c>
      <c r="B4174" s="1" t="str">
        <f ca="1">IFERROR(__xludf.DUMFUNCTION("GOOGLETRANSLATE(A4310,""id"",""en"")"),"Suggestions for No Pertalite Private Motorcycle Car on CC Not Making Complicated Motorbikes that Right Rights Routine Pay Taxes")</f>
        <v>Suggestions for No Pertalite Private Motorcycle Car on CC Not Making Complicated Motorbikes that Right Rights Routine Pay Taxes</v>
      </c>
    </row>
    <row r="4175" spans="1:2" x14ac:dyDescent="0.2">
      <c r="A4175" s="1" t="s">
        <v>5184</v>
      </c>
      <c r="B4175" s="1" t="str">
        <f ca="1">IFERROR(__xludf.DUMFUNCTION("GOOGLETRANSLATE(A4311,""id"",""en"")"),"Buy Cooking Oil Cares Protection Buy Gasoline   application is ok, if the one who is just a cellphone that is old school")</f>
        <v>Buy Cooking Oil Cares Protection Buy Gasoline   application is ok, if the one who is just a cellphone that is old school</v>
      </c>
    </row>
    <row r="4176" spans="1:2" x14ac:dyDescent="0.2">
      <c r="A4176" s="1" t="s">
        <v>1403</v>
      </c>
      <c r="B4176" s="1" t="str">
        <f ca="1">IFERROR(__xludf.DUMFUNCTION("GOOGLETRANSLATE(A4312,""id"",""en"")"),"the love story of mburem  tank truck in the blind spot area far")</f>
        <v>the love story of mburem  tank truck in the blind spot area far</v>
      </c>
    </row>
    <row r="4177" spans="1:2" x14ac:dyDescent="0.2">
      <c r="A4177" s="1" t="s">
        <v>5185</v>
      </c>
      <c r="B4177" s="1" t="str">
        <f ca="1">IFERROR(__xludf.DUMFUNCTION("GOOGLETRANSLATE(A4313,""id"",""en"")"),"  Open Hp Application")</f>
        <v xml:space="preserve">  Open Hp Application</v>
      </c>
    </row>
    <row r="4178" spans="1:2" x14ac:dyDescent="0.2">
      <c r="A4178" s="1" t="s">
        <v>447</v>
      </c>
      <c r="B4178" s="1" t="str">
        <f ca="1">IFERROR(__xludf.DUMFUNCTION("GOOGLETRANSLATE(A4314,""id"",""en"")"),"Besides, the consumption of full -tanks of the car with a cc motorbike already")</f>
        <v>Besides, the consumption of full -tanks of the car with a cc motorbike already</v>
      </c>
    </row>
    <row r="4179" spans="1:2" x14ac:dyDescent="0.2">
      <c r="A4179" s="1" t="s">
        <v>1404</v>
      </c>
      <c r="B4179" s="1" t="str">
        <f ca="1">IFERROR(__xludf.DUMFUNCTION("GOOGLETRANSLATE(A4315,""id"",""en"")"),"Pindas Tuncas to the people scroll the people of 's corruption")</f>
        <v>Pindas Tuncas to the people scroll the people of 's corruption</v>
      </c>
    </row>
    <row r="4180" spans="1:2" x14ac:dyDescent="0.2">
      <c r="A4180" s="1" t="s">
        <v>1405</v>
      </c>
      <c r="B4180" s="1" t="str">
        <f ca="1">IFERROR(__xludf.DUMFUNCTION("GOOGLETRANSLATE(A4316,""id"",""en"")"),"not  that is efficiency")</f>
        <v>not  that is efficiency</v>
      </c>
    </row>
    <row r="4181" spans="1:2" x14ac:dyDescent="0.2">
      <c r="A4181" s="1" t="s">
        <v>1406</v>
      </c>
      <c r="B4181" s="1" t="str">
        <f ca="1">IFERROR(__xludf.DUMFUNCTION("GOOGLETRANSLATE(A4317,""id"",""en"")"),"SBMT FSB Migas Kasbi Holds Action Demonstration PT  Fuel Terminal Tasikmalaya Action")</f>
        <v>SBMT FSB Migas Kasbi Holds Action Demonstration PT  Fuel Terminal Tasikmalaya Action</v>
      </c>
    </row>
    <row r="4182" spans="1:2" x14ac:dyDescent="0.2">
      <c r="A4182" s="1" t="s">
        <v>448</v>
      </c>
      <c r="B4182" s="1" t="str">
        <f ca="1">IFERROR(__xludf.DUMFUNCTION("GOOGLETRANSLATE(A4318,""id"",""en"")"),"Besides, the consumption of full fuel tanks for cars on cc motorbikes is already wise for motorbikes below cc automatically get pertalite")</f>
        <v>Besides, the consumption of full fuel tanks for cars on cc motorbikes is already wise for motorbikes below cc automatically get pertalite</v>
      </c>
    </row>
    <row r="4183" spans="1:2" x14ac:dyDescent="0.2">
      <c r="A4183" s="1" t="s">
        <v>449</v>
      </c>
      <c r="B4183" s="1" t="str">
        <f ca="1">IFERROR(__xludf.DUMFUNCTION("GOOGLETRANSLATE(A4319,""id"",""en"")"),"explosive gas station due to the use of CC's responsible cellphone")</f>
        <v>explosive gas station due to the use of CC's responsible cellphone</v>
      </c>
    </row>
    <row r="4184" spans="1:2" x14ac:dyDescent="0.2">
      <c r="A4184" s="1" t="s">
        <v>1407</v>
      </c>
      <c r="B4184" s="1" t="str">
        <f ca="1">IFERROR(__xludf.DUMFUNCTION("GOOGLETRANSLATE(A4320,""id"",""en"")"),"Ahok Selling Religion The Name of God's Son of God Entering  Loss")</f>
        <v>Ahok Selling Religion The Name of God's Son of God Entering  Loss</v>
      </c>
    </row>
    <row r="4185" spans="1:2" x14ac:dyDescent="0.2">
      <c r="A4185" s="1" t="s">
        <v>1408</v>
      </c>
      <c r="B4185" s="1" t="str">
        <f ca="1">IFERROR(__xludf.DUMFUNCTION("GOOGLETRANSLATE(A4321,""id"",""en"")")," Sis Blood Donor Using Application")</f>
        <v xml:space="preserve"> Sis Blood Donor Using Application</v>
      </c>
    </row>
    <row r="4186" spans="1:2" x14ac:dyDescent="0.2">
      <c r="A4186" s="1" t="s">
        <v>5186</v>
      </c>
      <c r="B4186" s="1" t="str">
        <f ca="1">IFERROR(__xludf.DUMFUNCTION("GOOGLETRANSLATE(A4322,""id"",""en"")"),"opo   yo sell ng first the item")</f>
        <v>opo   yo sell ng first the item</v>
      </c>
    </row>
    <row r="4187" spans="1:2" x14ac:dyDescent="0.2">
      <c r="A4187" s="1" t="s">
        <v>1409</v>
      </c>
      <c r="B4187" s="1" t="str">
        <f ca="1">IFERROR(__xludf.DUMFUNCTION("GOOGLETRANSLATE(A4323,""id"",""en"")"),"Min, try to go down the Cashless scream when the  gas station said Cash Az Brother")</f>
        <v>Min, try to go down the Cashless scream when the  gas station said Cash Az Brother</v>
      </c>
    </row>
    <row r="4188" spans="1:2" x14ac:dyDescent="0.2">
      <c r="A4188" s="1" t="s">
        <v>5187</v>
      </c>
      <c r="B4188" s="1" t="str">
        <f ca="1">IFERROR(__xludf.DUMFUNCTION("GOOGLETRANSLATE(A4324,""id"",""en"")"),"jokes smak univ  installed   eh bnr")</f>
        <v>jokes smak univ  installed   eh bnr</v>
      </c>
    </row>
    <row r="4189" spans="1:2" x14ac:dyDescent="0.2">
      <c r="A4189" s="1" t="s">
        <v>5188</v>
      </c>
      <c r="B4189" s="1" t="str">
        <f ca="1">IFERROR(__xludf.DUMFUNCTION("GOOGLETRANSLATE(A4325,""id"",""en"")"),"sorry, keean check or not  gas stations are tired of downloading when the  staff gas station is not holding cash atm, please check seriously people")</f>
        <v>sorry, keean check or not  gas stations are tired of downloading when the  staff gas station is not holding cash atm, please check seriously people</v>
      </c>
    </row>
    <row r="4190" spans="1:2" x14ac:dyDescent="0.2">
      <c r="A4190" s="1" t="s">
        <v>450</v>
      </c>
      <c r="B4190" s="1" t="str">
        <f ca="1">IFERROR(__xludf.DUMFUNCTION("GOOGLETRANSLATE(A4326,""id"",""en"")"),"orders to receive technology subsidies technology because Indonesian people remote villages using Android phones please weigh")</f>
        <v>orders to receive technology subsidies technology because Indonesian people remote villages using Android phones please weigh</v>
      </c>
    </row>
    <row r="4191" spans="1:2" x14ac:dyDescent="0.2">
      <c r="A4191" s="1" t="s">
        <v>5189</v>
      </c>
      <c r="B4191" s="1" t="str">
        <f ca="1">IFERROR(__xludf.DUMFUNCTION("GOOGLETRANSLATE(A4327,""id"",""en"")"),"Meuli Oil Make Application Cares Protects Meuli Pertalite Jeung Solar Make   Sieun Engke Pas Cengek Maha")</f>
        <v>Meuli Oil Make Application Cares Protects Meuli Pertalite Jeung Solar Make   Sieun Engke Pas Cengek Maha</v>
      </c>
    </row>
    <row r="4192" spans="1:2" x14ac:dyDescent="0.2">
      <c r="A4192" s="1" t="s">
        <v>451</v>
      </c>
      <c r="B4192" s="1" t="str">
        <f ca="1">IFERROR(__xludf.DUMFUNCTION("GOOGLETRANSLATE(A4328,""id"",""en"")"),"how about it")</f>
        <v>how about it</v>
      </c>
    </row>
    <row r="4193" spans="1:2" x14ac:dyDescent="0.2">
      <c r="A4193" s="1" t="s">
        <v>452</v>
      </c>
      <c r="B4193" s="1" t="str">
        <f ca="1">IFERROR(__xludf.DUMFUNCTION("GOOGLETRANSLATE(A4329,""id"",""en"")"),"the volume of the spilled oil is estimated to be around liters")</f>
        <v>the volume of the spilled oil is estimated to be around liters</v>
      </c>
    </row>
    <row r="4194" spans="1:2" x14ac:dyDescent="0.2">
      <c r="A4194" s="1" t="s">
        <v>5190</v>
      </c>
      <c r="B4194" s="1" t="str">
        <f ca="1">IFERROR(__xludf.DUMFUNCTION("GOOGLETRANSLATE(A4330,""id"",""en"")"),"Sitting Indonesia Million The Million Kendara Million That Makes  's Application Profit")</f>
        <v>Sitting Indonesia Million The Million Kendara Million That Makes  's Application Profit</v>
      </c>
    </row>
    <row r="4195" spans="1:2" x14ac:dyDescent="0.2">
      <c r="A4195" s="1" t="s">
        <v>5191</v>
      </c>
      <c r="B4195" s="1" t="str">
        <f ca="1">IFERROR(__xludf.DUMFUNCTION("GOOGLETRANSLATE(A4331,""id"",""en"")"),"already downloaded   already used to pay gaperlu input no KTP MISSED which one")</f>
        <v>already downloaded   already used to pay gaperlu input no KTP MISSED which one</v>
      </c>
    </row>
    <row r="4196" spans="1:2" x14ac:dyDescent="0.2">
      <c r="A4196" s="1" t="s">
        <v>5192</v>
      </c>
      <c r="B4196" s="1" t="str">
        <f ca="1">IFERROR(__xludf.DUMFUNCTION("GOOGLETRANSLATE(A4332,""id"",""en"")"),"Date July Buy Gasoline Make   Gas Station GK Maen Hp")</f>
        <v>Date July Buy Gasoline Make   Gas Station GK Maen Hp</v>
      </c>
    </row>
    <row r="4197" spans="1:2" x14ac:dyDescent="0.2">
      <c r="A4197" s="1" t="s">
        <v>1410</v>
      </c>
      <c r="B4197" s="1" t="str">
        <f ca="1">IFERROR(__xludf.DUMFUNCTION("GOOGLETRANSLATE(A4333,""id"",""en"")"),"oh jui Commissioner Pinter Loss  Pinter Koplak")</f>
        <v>oh jui Commissioner Pinter Loss  Pinter Koplak</v>
      </c>
    </row>
    <row r="4198" spans="1:2" x14ac:dyDescent="0.2">
      <c r="A4198" s="1" t="s">
        <v>1411</v>
      </c>
      <c r="B4198" s="1" t="str">
        <f ca="1">IFERROR(__xludf.DUMFUNCTION("GOOGLETRANSLATE(A4334,""id"",""en"")"),"selling nomboki prices for state money that sell state money that loses countries that sell state profit.")</f>
        <v>selling nomboki prices for state money that sell state money that loses countries that sell state profit.</v>
      </c>
    </row>
    <row r="4199" spans="1:2" x14ac:dyDescent="0.2">
      <c r="A4199" s="1" t="s">
        <v>1412</v>
      </c>
      <c r="B4199" s="1" t="str">
        <f ca="1">IFERROR(__xludf.DUMFUNCTION("GOOGLETRANSLATE(A4335,""id"",""en"")"),"While  Pertalite")</f>
        <v>While  Pertalite</v>
      </c>
    </row>
    <row r="4200" spans="1:2" x14ac:dyDescent="0.2">
      <c r="A4200" s="1" t="s">
        <v>5193</v>
      </c>
      <c r="B4200" s="1" t="str">
        <f ca="1">IFERROR(__xludf.DUMFUNCTION("GOOGLETRANSLATE(A4336,""id"",""en"")"),"His cellphone is only for the Bossman Ptgs gas station via EDC, check the number of kendraan BL.")</f>
        <v>His cellphone is only for the Bossman Ptgs gas station via EDC, check the number of kendraan BL.</v>
      </c>
    </row>
    <row r="4201" spans="1:2" x14ac:dyDescent="0.2">
      <c r="A4201" s="1" t="s">
        <v>5194</v>
      </c>
      <c r="B4201" s="1" t="str">
        <f ca="1">IFERROR(__xludf.DUMFUNCTION("GOOGLETRANSLATE(A4337,""id"",""en"")"),"Download   Buy Premium Subsidy Gasoline")</f>
        <v>Download   Buy Premium Subsidy Gasoline</v>
      </c>
    </row>
    <row r="4202" spans="1:2" x14ac:dyDescent="0.2">
      <c r="A4202" s="1" t="s">
        <v>453</v>
      </c>
      <c r="B4202" s="1" t="str">
        <f ca="1">IFERROR(__xludf.DUMFUNCTION("GOOGLETRANSLATE(A4338,""id"",""en"")"),"Playing Hp Gas Station Sgt Dangers Bang Sy Ex ex wrong Pontianak gas station")</f>
        <v>Playing Hp Gas Station Sgt Dangers Bang Sy Ex ex wrong Pontianak gas station</v>
      </c>
    </row>
    <row r="4203" spans="1:2" x14ac:dyDescent="0.2">
      <c r="A4203" s="1" t="s">
        <v>1413</v>
      </c>
      <c r="B4203" s="1" t="str">
        <f ca="1">IFERROR(__xludf.DUMFUNCTION("GOOGLETRANSLATE(A4339,""id"",""en"")"),"So the Audit Team from  Pertama")</f>
        <v>So the Audit Team from  Pertama</v>
      </c>
    </row>
    <row r="4204" spans="1:2" x14ac:dyDescent="0.2">
      <c r="A4204" s="1" t="s">
        <v>454</v>
      </c>
      <c r="B4204" s="1" t="str">
        <f ca="1">IFERROR(__xludf.DUMFUNCTION("GOOGLETRANSLATE(A4340,""id"",""en"")"),"unt car alhamdulillah the people of the car")</f>
        <v>unt car alhamdulillah the people of the car</v>
      </c>
    </row>
    <row r="4205" spans="1:2" x14ac:dyDescent="0.2">
      <c r="A4205" s="1" t="s">
        <v>1414</v>
      </c>
      <c r="B4205" s="1" t="str">
        <f ca="1">IFERROR(__xludf.DUMFUNCTION("GOOGLETRANSLATE(A4341,""id"",""en"")"),"Just like ")</f>
        <v xml:space="preserve">Just like </v>
      </c>
    </row>
    <row r="4206" spans="1:2" x14ac:dyDescent="0.2">
      <c r="A4206" s="1" t="s">
        <v>1415</v>
      </c>
      <c r="B4206" s="1" t="str">
        <f ca="1">IFERROR(__xludf.DUMFUNCTION("GOOGLETRANSLATE(A4342,""id"",""en"")"),"the great one  leads former prisoners you just shut up")</f>
        <v>the great one  leads former prisoners you just shut up</v>
      </c>
    </row>
    <row r="4207" spans="1:2" x14ac:dyDescent="0.2">
      <c r="A4207" s="1" t="s">
        <v>2393</v>
      </c>
      <c r="B4207" s="1" t="str">
        <f ca="1">IFERROR(__xludf.DUMFUNCTION("GOOGLETRANSLATE(A4343,""id"",""en"")")," Buy Pertalite must use the   application to sell a retail, just buy here, so it's just a ri")</f>
        <v xml:space="preserve"> Buy Pertalite must use the   application to sell a retail, just buy here, so it's just a ri</v>
      </c>
    </row>
    <row r="4208" spans="1:2" x14ac:dyDescent="0.2">
      <c r="A4208" s="1" t="s">
        <v>1416</v>
      </c>
      <c r="B4208" s="1" t="str">
        <f ca="1">IFERROR(__xludf.DUMFUNCTION("GOOGLETRANSLATE(A4344,""id"",""en"")")," Koplak SLM Komut Ahok loss about the corrupt suspect there is a registration of the KPK I will check Ahok mdh and the contents of the fuel task for the gas station is kendara, so I have to turn off the cellphone now buying BBM, the phone applica"&amp;"tion will say it's angry but the real piye jal")</f>
        <v xml:space="preserve"> Koplak SLM Komut Ahok loss about the corrupt suspect there is a registration of the KPK I will check Ahok mdh and the contents of the fuel task for the gas station is kendara, so I have to turn off the cellphone now buying BBM, the phone application will say it's angry but the real piye jal</v>
      </c>
    </row>
    <row r="4209" spans="1:2" x14ac:dyDescent="0.2">
      <c r="A4209" s="1" t="s">
        <v>5195</v>
      </c>
      <c r="B4209" s="1" t="str">
        <f ca="1">IFERROR(__xludf.DUMFUNCTION("GOOGLETRANSLATE(A4345,""id"",""en"")"),"times download  tp Medan says the contents of  gas station gasoline says gallon when the husband is filled with gasoline, not stopping by the gallon to strike a road")</f>
        <v>times download  tp Medan says the contents of  gas station gasoline says gallon when the husband is filled with gasoline, not stopping by the gallon to strike a road</v>
      </c>
    </row>
    <row r="4210" spans="1:2" x14ac:dyDescent="0.2">
      <c r="A4210" s="1" t="s">
        <v>5196</v>
      </c>
      <c r="B4210" s="1" t="str">
        <f ca="1">IFERROR(__xludf.DUMFUNCTION("GOOGLETRANSLATE(A4346,""id"",""en"")"),"yes yes  ")</f>
        <v xml:space="preserve">yes yes  </v>
      </c>
    </row>
    <row r="4211" spans="1:2" x14ac:dyDescent="0.2">
      <c r="A4211" s="1" t="s">
        <v>1417</v>
      </c>
      <c r="B4211" s="1" t="str">
        <f ca="1">IFERROR(__xludf.DUMFUNCTION("GOOGLETRANSLATE(A4347,""id"",""en"")"),"replace the one who selects the GAND PRAYER GT Jakarta, choose to replace it with  Central Java BUMN")</f>
        <v>replace the one who selects the GAND PRAYER GT Jakarta, choose to replace it with  Central Java BUMN</v>
      </c>
    </row>
    <row r="4212" spans="1:2" x14ac:dyDescent="0.2">
      <c r="A4212" s="1" t="s">
        <v>219</v>
      </c>
      <c r="B4212" s="1" t="str">
        <f ca="1">IFERROR(__xludf.DUMFUNCTION("GOOGLETRANSLATE(A4348,""id"",""en"")"),"CC")</f>
        <v>CC</v>
      </c>
    </row>
    <row r="4213" spans="1:2" x14ac:dyDescent="0.2">
      <c r="A4213" s="1" t="s">
        <v>5197</v>
      </c>
      <c r="B4213" s="1" t="str">
        <f ca="1">IFERROR(__xludf.DUMFUNCTION("GOOGLETRANSLATE(A4349,""id"",""en"")"),"answered   Bright Gas Pertamax Min Kuy joined the bestie")</f>
        <v>answered   Bright Gas Pertamax Min Kuy joined the bestie</v>
      </c>
    </row>
    <row r="4214" spans="1:2" x14ac:dyDescent="0.2">
      <c r="A4214" s="1" t="s">
        <v>1418</v>
      </c>
      <c r="B4214" s="1" t="str">
        <f ca="1">IFERROR(__xludf.DUMFUNCTION("GOOGLETRANSLATE(A4350,""id"",""en"")"),"The core of the boss is  taking care of the Smart Bodong Kendara a little comment on the topic")</f>
        <v>The core of the boss is  taking care of the Smart Bodong Kendara a little comment on the topic</v>
      </c>
    </row>
    <row r="4215" spans="1:2" x14ac:dyDescent="0.2">
      <c r="A4215" s="1" t="s">
        <v>5065</v>
      </c>
      <c r="B4215" s="1" t="str">
        <f ca="1">IFERROR(__xludf.DUMFUNCTION("GOOGLETRANSLATE(A4351,""id"",""en"")"),"  Pertamax Bright Gas Giveaway rjbt ")</f>
        <v xml:space="preserve">  Pertamax Bright Gas Giveaway rjbt </v>
      </c>
    </row>
    <row r="4216" spans="1:2" x14ac:dyDescent="0.2">
      <c r="A4216" s="1" t="s">
        <v>1419</v>
      </c>
      <c r="B4216" s="1" t="str">
        <f ca="1">IFERROR(__xludf.DUMFUNCTION("GOOGLETRANSLATE(A4352,""id"",""en"")"),"the control of the subsidized goods command, yes, why isn't the function of BPH Migas Operator which is  Road BPH Migas Road")</f>
        <v>the control of the subsidized goods command, yes, why isn't the function of BPH Migas Operator which is  Road BPH Migas Road</v>
      </c>
    </row>
    <row r="4217" spans="1:2" x14ac:dyDescent="0.2">
      <c r="A4217" s="1" t="s">
        <v>5198</v>
      </c>
      <c r="B4217" s="1" t="str">
        <f ca="1">IFERROR(__xludf.DUMFUNCTION("GOOGLETRANSLATE(A4353,""id"",""en"")"),"how come it's not a motorbike,  ")</f>
        <v xml:space="preserve">how come it's not a motorbike,  </v>
      </c>
    </row>
    <row r="4218" spans="1:2" x14ac:dyDescent="0.2">
      <c r="A4218" s="1" t="s">
        <v>1115</v>
      </c>
      <c r="B4218" s="1" t="str">
        <f ca="1">IFERROR(__xludf.DUMFUNCTION("GOOGLETRANSLATE(A4354,""id"",""en"")")," Have Personality Issues")</f>
        <v xml:space="preserve"> Have Personality Issues</v>
      </c>
    </row>
    <row r="4219" spans="1:2" x14ac:dyDescent="0.2">
      <c r="A4219" s="1" t="s">
        <v>455</v>
      </c>
      <c r="B4219" s="1" t="str">
        <f ca="1">IFERROR(__xludf.DUMFUNCTION("GOOGLETRANSLATE(A4355,""id"",""en"")"),"respectable for good luck")</f>
        <v>respectable for good luck</v>
      </c>
    </row>
    <row r="4220" spans="1:2" x14ac:dyDescent="0.2">
      <c r="A4220" s="1" t="s">
        <v>456</v>
      </c>
      <c r="B4220" s="1" t="str">
        <f ca="1">IFERROR(__xludf.DUMFUNCTION("GOOGLETRANSLATE(A4356,""id"",""en"")"),"Rudet is in vain")</f>
        <v>Rudet is in vain</v>
      </c>
    </row>
    <row r="4221" spans="1:2" x14ac:dyDescent="0.2">
      <c r="A4221" s="1" t="s">
        <v>1420</v>
      </c>
      <c r="B4221" s="1" t="str">
        <f ca="1">IFERROR(__xludf.DUMFUNCTION("GOOGLETRANSLATE(A4357,""id"",""en"")")," cooperation with the provider of the level of use of the pandemic quota, it is suspected that the one who holds the country ono led PTmina near")</f>
        <v xml:space="preserve"> cooperation with the provider of the level of use of the pandemic quota, it is suspected that the one who holds the country ono led PTmina near</v>
      </c>
    </row>
    <row r="4222" spans="1:2" x14ac:dyDescent="0.2">
      <c r="A4222" s="1" t="s">
        <v>5199</v>
      </c>
      <c r="B4222" s="1" t="str">
        <f ca="1">IFERROR(__xludf.DUMFUNCTION("GOOGLETRANSLATE(A4358,""id"",""en"")"),"Buy Cheap Oil PKE Protection Application Buy Solar Petralite Using   Klu Who Speaking of the Country")</f>
        <v>Buy Cheap Oil PKE Protection Application Buy Solar Petralite Using   Klu Who Speaking of the Country</v>
      </c>
    </row>
    <row r="4223" spans="1:2" x14ac:dyDescent="0.2">
      <c r="A4223" s="1" t="s">
        <v>1421</v>
      </c>
      <c r="B4223" s="1" t="str">
        <f ca="1">IFERROR(__xludf.DUMFUNCTION("GOOGLETRANSLATE(A4359,""id"",""en"")"),"Tai Tai Tai Bipanggarongaset  During the time it still utilizes the opportunity for Bipang to disappear the Bipang State Working State Merusakaja")</f>
        <v>Tai Tai Tai Bipanggarongaset  During the time it still utilizes the opportunity for Bipang to disappear the Bipang State Working State Merusakaja</v>
      </c>
    </row>
    <row r="4224" spans="1:2" x14ac:dyDescent="0.2">
      <c r="A4224" s="1" t="s">
        <v>1422</v>
      </c>
      <c r="B4224" s="1" t="str">
        <f ca="1">IFERROR(__xludf.DUMFUNCTION("GOOGLETRANSLATE(A4360,""id"",""en"")"),"fortunately I rarely use  if it's not pepet")</f>
        <v>fortunately I rarely use  if it's not pepet</v>
      </c>
    </row>
    <row r="4225" spans="1:2" x14ac:dyDescent="0.2">
      <c r="A4225" s="1" t="s">
        <v>1423</v>
      </c>
      <c r="B4225" s="1" t="str">
        <f ca="1">IFERROR(__xludf.DUMFUNCTION("GOOGLETRANSLATE(A4361,""id"",""en"")"),"buy  using cards, not accepting cash, it doesn't work, making wisely ngong ngong ngong ngong difficult people better meet benefits")</f>
        <v>buy  using cards, not accepting cash, it doesn't work, making wisely ngong ngong ngong ngong difficult people better meet benefits</v>
      </c>
    </row>
    <row r="4226" spans="1:2" x14ac:dyDescent="0.2">
      <c r="A4226" s="1" t="s">
        <v>1424</v>
      </c>
      <c r="B4226" s="1" t="str">
        <f ca="1">IFERROR(__xludf.DUMFUNCTION("GOOGLETRANSLATE(A4362,""id"",""en"")"),"I know,  is bothering people, I have a motor")</f>
        <v>I know,  is bothering people, I have a motor</v>
      </c>
    </row>
    <row r="4227" spans="1:2" x14ac:dyDescent="0.2">
      <c r="A4227" s="1" t="s">
        <v>1425</v>
      </c>
      <c r="B4227" s="1" t="str">
        <f ca="1">IFERROR(__xludf.DUMFUNCTION("GOOGLETRANSLATE(A4363,""id"",""en"")")," Patra Niaga Strong Infrastructure System Supporting Salur Salar Salar Sasar Program")</f>
        <v xml:space="preserve"> Patra Niaga Strong Infrastructure System Supporting Salur Salar Salar Sasar Program</v>
      </c>
    </row>
    <row r="4228" spans="1:2" x14ac:dyDescent="0.2">
      <c r="A4228" s="1" t="s">
        <v>1426</v>
      </c>
      <c r="B4228" s="1" t="str">
        <f ca="1">IFERROR(__xludf.DUMFUNCTION("GOOGLETRANSLATE(A4364,""id"",""en"")")," champion")</f>
        <v xml:space="preserve"> champion</v>
      </c>
    </row>
    <row r="4229" spans="1:2" x14ac:dyDescent="0.2">
      <c r="A4229" s="1" t="s">
        <v>5200</v>
      </c>
      <c r="B4229" s="1" t="str">
        <f ca="1">IFERROR(__xludf.DUMFUNCTION("GOOGLETRANSLATE(A4365,""id"",""en"")"),"Society Understanding Gun ")</f>
        <v xml:space="preserve">Society Understanding Gun </v>
      </c>
    </row>
    <row r="4230" spans="1:2" x14ac:dyDescent="0.2">
      <c r="A4230" s="1" t="s">
        <v>1427</v>
      </c>
      <c r="B4230" s="1" t="str">
        <f ca="1">IFERROR(__xludf.DUMFUNCTION("GOOGLETRANSLATE(A4366,""id"",""en"")"),"I hope the road program runs smoothly, ")</f>
        <v xml:space="preserve">I hope the road program runs smoothly, </v>
      </c>
    </row>
    <row r="4231" spans="1:2" x14ac:dyDescent="0.2">
      <c r="A4231" s="1" t="s">
        <v>1428</v>
      </c>
      <c r="B4231" s="1" t="str">
        <f ca="1">IFERROR(__xludf.DUMFUNCTION("GOOGLETRANSLATE(A4367,""id"",""en"")")," Nali Consumer Pertalite Solar Front ACU WISE PROGRAM SUBSIDIE HELP")</f>
        <v xml:space="preserve"> Nali Consumer Pertalite Solar Front ACU WISE PROGRAM SUBSIDIE HELP</v>
      </c>
    </row>
    <row r="4232" spans="1:2" x14ac:dyDescent="0.2">
      <c r="A4232" s="1" t="s">
        <v>1429</v>
      </c>
      <c r="B4232" s="1" t="str">
        <f ca="1">IFERROR(__xludf.DUMFUNCTION("GOOGLETRANSLATE(A4368,""id"",""en"")"),"stops  work")</f>
        <v>stops  work</v>
      </c>
    </row>
    <row r="4233" spans="1:2" x14ac:dyDescent="0.2">
      <c r="A4233" s="1" t="s">
        <v>5201</v>
      </c>
      <c r="B4233" s="1" t="str">
        <f ca="1">IFERROR(__xludf.DUMFUNCTION("GOOGLETRANSLATE(A4369,""id"",""en"")"),"  Bright Gas Pertamax Join")</f>
        <v xml:space="preserve">  Bright Gas Pertamax Join</v>
      </c>
    </row>
    <row r="4234" spans="1:2" x14ac:dyDescent="0.2">
      <c r="A4234" s="1" t="s">
        <v>1430</v>
      </c>
      <c r="B4234" s="1" t="str">
        <f ca="1">IFERROR(__xludf.DUMFUNCTION("GOOGLETRANSLATE(A4370,""id"",""en"")"),"Easy Easy  Program smoothly")</f>
        <v>Easy Easy  Program smoothly</v>
      </c>
    </row>
    <row r="4235" spans="1:2" x14ac:dyDescent="0.2">
      <c r="A4235" s="1" t="s">
        <v>457</v>
      </c>
      <c r="B4235" s="1" t="str">
        <f ca="1">IFERROR(__xludf.DUMFUNCTION("GOOGLETRANSLATE(A4371,""id"",""en"")"),"Solar customer subsidized Pertalite list here")</f>
        <v>Solar customer subsidized Pertalite list here</v>
      </c>
    </row>
    <row r="4236" spans="1:2" x14ac:dyDescent="0.2">
      <c r="A4236" s="1" t="s">
        <v>4010</v>
      </c>
      <c r="B4236" s="1" t="str">
        <f ca="1">IFERROR(__xludf.DUMFUNCTION("GOOGLETRANSLATE(A4372,""id"",""en"")"),"List of  websites")</f>
        <v>List of  websites</v>
      </c>
    </row>
    <row r="4237" spans="1:2" x14ac:dyDescent="0.2">
      <c r="A4237" s="1" t="s">
        <v>1431</v>
      </c>
      <c r="B4237" s="1" t="str">
        <f ca="1">IFERROR(__xludf.DUMFUNCTION("GOOGLETRANSLATE(A4373,""id"",""en"")"),"Indonesia's view of the world thanks to ")</f>
        <v xml:space="preserve">Indonesia's view of the world thanks to </v>
      </c>
    </row>
    <row r="4238" spans="1:2" x14ac:dyDescent="0.2">
      <c r="A4238" s="1" t="s">
        <v>1432</v>
      </c>
      <c r="B4238" s="1" t="str">
        <f ca="1">IFERROR(__xludf.DUMFUNCTION("GOOGLETRANSLATE(A4374,""id"",""en"")"),"try to know help  aware of BBM subsidies")</f>
        <v>try to know help  aware of BBM subsidies</v>
      </c>
    </row>
    <row r="4239" spans="1:2" x14ac:dyDescent="0.2">
      <c r="A4239" s="1" t="s">
        <v>458</v>
      </c>
      <c r="B4239" s="1" t="str">
        <f ca="1">IFERROR(__xludf.DUMFUNCTION("GOOGLETRANSLATE(A4375,""id"",""en"")"),"Easy List of Difficult Society")</f>
        <v>Easy List of Difficult Society</v>
      </c>
    </row>
    <row r="4240" spans="1:2" x14ac:dyDescent="0.2">
      <c r="A4240" s="1" t="s">
        <v>3959</v>
      </c>
      <c r="B4240" s="1" t="str">
        <f ca="1">IFERROR(__xludf.DUMFUNCTION("GOOGLETRANSLATE(A4376,""id"",""en"")"),"List of  Websites People are worried about the  application")</f>
        <v>List of  Websites People are worried about the  application</v>
      </c>
    </row>
    <row r="4241" spans="1:2" x14ac:dyDescent="0.2">
      <c r="A4241" s="1" t="s">
        <v>1433</v>
      </c>
      <c r="B4241" s="1" t="str">
        <f ca="1">IFERROR(__xludf.DUMFUNCTION("GOOGLETRANSLATE(A4377,""id"",""en"")")," is proud")</f>
        <v xml:space="preserve"> is proud</v>
      </c>
    </row>
    <row r="4242" spans="1:2" x14ac:dyDescent="0.2">
      <c r="A4242" s="1" t="s">
        <v>1434</v>
      </c>
      <c r="B4242" s="1" t="str">
        <f ca="1">IFERROR(__xludf.DUMFUNCTION("GOOGLETRANSLATE(A4378,""id"",""en"")")," hopefully consistently both the public")</f>
        <v xml:space="preserve"> hopefully consistently both the public</v>
      </c>
    </row>
    <row r="4243" spans="1:2" x14ac:dyDescent="0.2">
      <c r="A4243" s="1" t="s">
        <v>1435</v>
      </c>
      <c r="B4243" s="1" t="str">
        <f ca="1">IFERROR(__xludf.DUMFUNCTION("GOOGLETRANSLATE(A4379,""id"",""en"")"),"'s forward step")</f>
        <v>'s forward step</v>
      </c>
    </row>
    <row r="4244" spans="1:2" x14ac:dyDescent="0.2">
      <c r="A4244" s="1" t="s">
        <v>1436</v>
      </c>
      <c r="B4244" s="1" t="str">
        <f ca="1">IFERROR(__xludf.DUMFUNCTION("GOOGLETRANSLATE(A4380,""id"",""en"")")," July Radius Meter Safe Only Are You Ready To")</f>
        <v xml:space="preserve"> July Radius Meter Safe Only Are You Ready To</v>
      </c>
    </row>
    <row r="4245" spans="1:2" x14ac:dyDescent="0.2">
      <c r="A4245" s="1" t="s">
        <v>3961</v>
      </c>
      <c r="B4245" s="1" t="str">
        <f ca="1">IFERROR(__xludf.DUMFUNCTION("GOOGLETRANSLATE(A4381,""id"",""en"")")," System Help Suitable Data Use")</f>
        <v xml:space="preserve"> System Help Suitable Data Use</v>
      </c>
    </row>
    <row r="4246" spans="1:2" x14ac:dyDescent="0.2">
      <c r="A4246" s="1" t="s">
        <v>1437</v>
      </c>
      <c r="B4246" s="1" t="str">
        <f ca="1">IFERROR(__xludf.DUMFUNCTION("GOOGLETRANSLATE(A4382,""id"",""en"")")," results from aaa standard AAA rating brand high")</f>
        <v xml:space="preserve"> results from aaa standard AAA rating brand high</v>
      </c>
    </row>
    <row r="4247" spans="1:2" x14ac:dyDescent="0.2">
      <c r="A4247" s="1" t="s">
        <v>1438</v>
      </c>
      <c r="B4247" s="1" t="str">
        <f ca="1">IFERROR(__xludf.DUMFUNCTION("GOOGLETRANSLATE(A4383,""id"",""en"")")," Comes to Care Requires the Community")</f>
        <v xml:space="preserve"> Comes to Care Requires the Community</v>
      </c>
    </row>
    <row r="4248" spans="1:2" x14ac:dyDescent="0.2">
      <c r="A4248" s="1" t="s">
        <v>1439</v>
      </c>
      <c r="B4248" s="1" t="str">
        <f ca="1">IFERROR(__xludf.DUMFUNCTION("GOOGLETRANSLATE(A4384,""id"",""en"")"),"Thank you  well")</f>
        <v>Thank you  well</v>
      </c>
    </row>
    <row r="4249" spans="1:2" x14ac:dyDescent="0.2">
      <c r="A4249" s="1" t="s">
        <v>3967</v>
      </c>
      <c r="B4249" s="1" t="str">
        <f ca="1">IFERROR(__xludf.DUMFUNCTION("GOOGLETRANSLATE(A4385,""id"",""en"")")," Patra Niaga Testing Pertalite Solar Trial to List  Website")</f>
        <v xml:space="preserve"> Patra Niaga Testing Pertalite Solar Trial to List  Website</v>
      </c>
    </row>
    <row r="4250" spans="1:2" x14ac:dyDescent="0.2">
      <c r="A4250" s="1" t="s">
        <v>1440</v>
      </c>
      <c r="B4250" s="1" t="str">
        <f ca="1">IFERROR(__xludf.DUMFUNCTION("GOOGLETRANSLATE(A4386,""id"",""en"")"),"proud  results enter the top strongest oil amp gas brand")</f>
        <v>proud  results enter the top strongest oil amp gas brand</v>
      </c>
    </row>
    <row r="4251" spans="1:2" x14ac:dyDescent="0.2">
      <c r="A4251" s="1" t="s">
        <v>1441</v>
      </c>
      <c r="B4251" s="1" t="str">
        <f ca="1">IFERROR(__xludf.DUMFUNCTION("GOOGLETRANSLATE(A4387,""id"",""en"")"),"I hope  helps the public consistently")</f>
        <v>I hope  helps the public consistently</v>
      </c>
    </row>
    <row r="4252" spans="1:2" x14ac:dyDescent="0.2">
      <c r="A4252" s="1" t="s">
        <v>1442</v>
      </c>
      <c r="B4252" s="1" t="str">
        <f ca="1">IFERROR(__xludf.DUMFUNCTION("GOOGLETRANSLATE(A4388,""id"",""en"")"),"wrong form of good commitment to ")</f>
        <v xml:space="preserve">wrong form of good commitment to </v>
      </c>
    </row>
    <row r="4253" spans="1:2" x14ac:dyDescent="0.2">
      <c r="A4253" s="1" t="s">
        <v>459</v>
      </c>
      <c r="B4253" s="1" t="str">
        <f ca="1">IFERROR(__xludf.DUMFUNCTION("GOOGLETRANSLATE(A4389,""id"",""en"")"),"or not the type of fuel vehicle according to the compression of the engine ratio")</f>
        <v>or not the type of fuel vehicle according to the compression of the engine ratio</v>
      </c>
    </row>
    <row r="4254" spans="1:2" x14ac:dyDescent="0.2">
      <c r="A4254" s="1" t="s">
        <v>460</v>
      </c>
      <c r="B4254" s="1" t="str">
        <f ca="1">IFERROR(__xludf.DUMFUNCTION("GOOGLETRANSLATE(A4390,""id"",""en"")"),"Please hope in front")</f>
        <v>Please hope in front</v>
      </c>
    </row>
    <row r="4255" spans="1:2" x14ac:dyDescent="0.2">
      <c r="A4255" s="1" t="s">
        <v>1443</v>
      </c>
      <c r="B4255" s="1" t="str">
        <f ca="1">IFERROR(__xludf.DUMFUNCTION("GOOGLETRANSLATE(A4391,""id"",""en"")"),"Real Proof of 's Work Help the Community")</f>
        <v>Real Proof of 's Work Help the Community</v>
      </c>
    </row>
    <row r="4256" spans="1:2" x14ac:dyDescent="0.2">
      <c r="A4256" s="1" t="s">
        <v>1444</v>
      </c>
      <c r="B4256" s="1" t="str">
        <f ca="1">IFERROR(__xludf.DUMFUNCTION("GOOGLETRANSLATE(A4392,""id"",""en"")"),"Alhamdulillah  advanced")</f>
        <v>Alhamdulillah  advanced</v>
      </c>
    </row>
    <row r="4257" spans="1:2" x14ac:dyDescent="0.2">
      <c r="A4257" s="1" t="s">
        <v>1445</v>
      </c>
      <c r="B4257" s="1" t="str">
        <f ca="1">IFERROR(__xludf.DUMFUNCTION("GOOGLETRANSLATE(A4393,""id"",""en"")"),"Very stupid who printed 's work")</f>
        <v>Very stupid who printed 's work</v>
      </c>
    </row>
    <row r="4258" spans="1:2" x14ac:dyDescent="0.2">
      <c r="A4258" s="1" t="s">
        <v>1446</v>
      </c>
      <c r="B4258" s="1" t="str">
        <f ca="1">IFERROR(__xludf.DUMFUNCTION("GOOGLETRANSLATE(A4394,""id"",""en"")"),"Proud ")</f>
        <v xml:space="preserve">Proud </v>
      </c>
    </row>
    <row r="4259" spans="1:2" x14ac:dyDescent="0.2">
      <c r="A4259" s="1" t="s">
        <v>461</v>
      </c>
      <c r="B4259" s="1" t="str">
        <f ca="1">IFERROR(__xludf.DUMFUNCTION("GOOGLETRANSLATE(A4395,""id"",""en"")"),"Thank you to work together safely, fuel subsidies")</f>
        <v>Thank you to work together safely, fuel subsidies</v>
      </c>
    </row>
    <row r="4260" spans="1:2" x14ac:dyDescent="0.2">
      <c r="A4260" s="1" t="s">
        <v>1447</v>
      </c>
      <c r="B4260" s="1" t="str">
        <f ca="1">IFERROR(__xludf.DUMFUNCTION("GOOGLETRANSLATE(A4396,""id"",""en"")"),"Congratulations, , concrete proof of , is proud")</f>
        <v>Congratulations, , concrete proof of , is proud</v>
      </c>
    </row>
    <row r="4261" spans="1:2" x14ac:dyDescent="0.2">
      <c r="A4261" s="1" t="s">
        <v>1448</v>
      </c>
      <c r="B4261" s="1" t="str">
        <f ca="1">IFERROR(__xludf.DUMFUNCTION("GOOGLETRANSLATE(A4397,""id"",""en"")"),"not activated the cellphone if ")</f>
        <v xml:space="preserve">not activated the cellphone if </v>
      </c>
    </row>
    <row r="4262" spans="1:2" x14ac:dyDescent="0.2">
      <c r="A4262" s="1" t="s">
        <v>1449</v>
      </c>
      <c r="B4262" s="1" t="str">
        <f ca="1">IFERROR(__xludf.DUMFUNCTION("GOOGLETRANSLATE(A4398,""id"",""en"")"),"Congratulations,  is proud")</f>
        <v>Congratulations,  is proud</v>
      </c>
    </row>
    <row r="4263" spans="1:2" x14ac:dyDescent="0.2">
      <c r="A4263" s="1" t="s">
        <v>1450</v>
      </c>
      <c r="B4263" s="1" t="str">
        <f ca="1">IFERROR(__xludf.DUMFUNCTION("GOOGLETRANSLATE(A4399,""id"",""en"")"),"This is really great  is proud")</f>
        <v>This is really great  is proud</v>
      </c>
    </row>
    <row r="4264" spans="1:2" x14ac:dyDescent="0.2">
      <c r="A4264" s="1" t="s">
        <v>1451</v>
      </c>
      <c r="B4264" s="1" t="str">
        <f ca="1">IFERROR(__xludf.DUMFUNCTION("GOOGLETRANSLATE(A4400,""id"",""en"")"),"'s breakthrough")</f>
        <v>'s breakthrough</v>
      </c>
    </row>
    <row r="4265" spans="1:2" x14ac:dyDescent="0.2">
      <c r="A4265" s="1" t="s">
        <v>462</v>
      </c>
      <c r="B4265" s="1" t="str">
        <f ca="1">IFERROR(__xludf.DUMFUNCTION("GOOGLETRANSLATE(A4401,""id"",""en"")"),"noise times kelen already emergency setting")</f>
        <v>noise times kelen already emergency setting</v>
      </c>
    </row>
    <row r="4266" spans="1:2" x14ac:dyDescent="0.2">
      <c r="A4266" s="1" t="s">
        <v>1452</v>
      </c>
      <c r="B4266" s="1" t="str">
        <f ca="1">IFERROR(__xludf.DUMFUNCTION("GOOGLETRANSLATE(A4402,""id"",""en"")"),"Forward yes  is proud")</f>
        <v>Forward yes  is proud</v>
      </c>
    </row>
    <row r="4267" spans="1:2" x14ac:dyDescent="0.2">
      <c r="A4267" s="1" t="s">
        <v>5202</v>
      </c>
      <c r="B4267" s="1" t="str">
        <f ca="1">IFERROR(__xludf.DUMFUNCTION("GOOGLETRANSLATE(A4403,""id"",""en"")"),"good using  ")</f>
        <v xml:space="preserve">good using  </v>
      </c>
    </row>
    <row r="4268" spans="1:2" x14ac:dyDescent="0.2">
      <c r="A4268" s="1" t="s">
        <v>1453</v>
      </c>
      <c r="B4268" s="1" t="str">
        <f ca="1">IFERROR(__xludf.DUMFUNCTION("GOOGLETRANSLATE(A4404,""id"",""en"")"),"I hope  is consistent in good")</f>
        <v>I hope  is consistent in good</v>
      </c>
    </row>
    <row r="4269" spans="1:2" x14ac:dyDescent="0.2">
      <c r="A4269" s="1" t="s">
        <v>1454</v>
      </c>
      <c r="B4269" s="1" t="str">
        <f ca="1">IFERROR(__xludf.DUMFUNCTION("GOOGLETRANSLATE(A4405,""id"",""en"")")," is reliable evidence")</f>
        <v xml:space="preserve"> is reliable evidence</v>
      </c>
    </row>
    <row r="4270" spans="1:2" x14ac:dyDescent="0.2">
      <c r="A4270" s="1" t="s">
        <v>1455</v>
      </c>
      <c r="B4270" s="1" t="str">
        <f ca="1">IFERROR(__xludf.DUMFUNCTION("GOOGLETRANSLATE(A4406,""id"",""en"")"),"Proud of this  tired")</f>
        <v>Proud of this  tired</v>
      </c>
    </row>
    <row r="4271" spans="1:2" x14ac:dyDescent="0.2">
      <c r="A4271" s="1" t="s">
        <v>1456</v>
      </c>
      <c r="B4271" s="1" t="str">
        <f ca="1">IFERROR(__xludf.DUMFUNCTION("GOOGLETRANSLATE(A4407,""id"",""en"")"),"Trobosan advances well, ")</f>
        <v xml:space="preserve">Trobosan advances well, </v>
      </c>
    </row>
    <row r="4272" spans="1:2" x14ac:dyDescent="0.2">
      <c r="A4272" s="1" t="s">
        <v>1457</v>
      </c>
      <c r="B4272" s="1" t="str">
        <f ca="1">IFERROR(__xludf.DUMFUNCTION("GOOGLETRANSLATE(A4408,""id"",""en"")"),"Congratulations  is tired")</f>
        <v>Congratulations  is tired</v>
      </c>
    </row>
    <row r="4273" spans="1:2" x14ac:dyDescent="0.2">
      <c r="A4273" s="1" t="s">
        <v>1458</v>
      </c>
      <c r="B4273" s="1" t="str">
        <f ca="1">IFERROR(__xludf.DUMFUNCTION("GOOGLETRANSLATE(A4409,""id"",""en"")")," smoothly supports")</f>
        <v xml:space="preserve"> smoothly supports</v>
      </c>
    </row>
    <row r="4274" spans="1:2" x14ac:dyDescent="0.2">
      <c r="A4274" s="1" t="s">
        <v>1459</v>
      </c>
      <c r="B4274" s="1" t="str">
        <f ca="1">IFERROR(__xludf.DUMFUNCTION("GOOGLETRANSLATE(A4410,""id"",""en"")"),"noise times kelen already an emergency set the good prayer of the prayer , hopefully the merek brakes are not profitable for literacy")</f>
        <v>noise times kelen already an emergency set the good prayer of the prayer , hopefully the merek brakes are not profitable for literacy</v>
      </c>
    </row>
    <row r="4275" spans="1:2" x14ac:dyDescent="0.2">
      <c r="A4275" s="1" t="s">
        <v>1460</v>
      </c>
      <c r="B4275" s="1" t="str">
        <f ca="1">IFERROR(__xludf.DUMFUNCTION("GOOGLETRANSLATE(A4411,""id"",""en"")")," Program Success")</f>
        <v xml:space="preserve"> Program Success</v>
      </c>
    </row>
    <row r="4276" spans="1:2" x14ac:dyDescent="0.2">
      <c r="A4276" s="1" t="s">
        <v>463</v>
      </c>
      <c r="B4276" s="1" t="str">
        <f ca="1">IFERROR(__xludf.DUMFUNCTION("GOOGLETRANSLATE(A4412,""id"",""en"")"),"funny huh")</f>
        <v>funny huh</v>
      </c>
    </row>
    <row r="4277" spans="1:2" x14ac:dyDescent="0.2">
      <c r="A4277" s="1" t="s">
        <v>464</v>
      </c>
      <c r="B4277" s="1" t="str">
        <f ca="1">IFERROR(__xludf.DUMFUNCTION("GOOGLETRANSLATE(A4413,""id"",""en"")"),"Society understands")</f>
        <v>Society understands</v>
      </c>
    </row>
    <row r="4278" spans="1:2" x14ac:dyDescent="0.2">
      <c r="A4278" s="1" t="s">
        <v>1461</v>
      </c>
      <c r="B4278" s="1" t="str">
        <f ca="1">IFERROR(__xludf.DUMFUNCTION("GOOGLETRANSLATE(A4414,""id"",""en"")"),"Makes the intellect of  to destroy the people")</f>
        <v>Makes the intellect of  to destroy the people</v>
      </c>
    </row>
    <row r="4279" spans="1:2" x14ac:dyDescent="0.2">
      <c r="A4279" s="1" t="s">
        <v>1462</v>
      </c>
      <c r="B4279" s="1" t="str">
        <f ca="1">IFERROR(__xludf.DUMFUNCTION("GOOGLETRANSLATE(A4415,""id"",""en"")")," is proud of hard work")</f>
        <v xml:space="preserve"> is proud of hard work</v>
      </c>
    </row>
    <row r="4280" spans="1:2" x14ac:dyDescent="0.2">
      <c r="A4280" s="1" t="s">
        <v>465</v>
      </c>
      <c r="B4280" s="1" t="str">
        <f ca="1">IFERROR(__xludf.DUMFUNCTION("GOOGLETRANSLATE(A4416,""id"",""en"")"),"cc gas station using a keten cellphone makes it prohibit keq")</f>
        <v>cc gas station using a keten cellphone makes it prohibit keq</v>
      </c>
    </row>
    <row r="4281" spans="1:2" x14ac:dyDescent="0.2">
      <c r="A4281" s="1" t="s">
        <v>1463</v>
      </c>
      <c r="B4281" s="1" t="str">
        <f ca="1">IFERROR(__xludf.DUMFUNCTION("GOOGLETRANSLATE(A4417,""id"",""en"")"),"LOL yesterday was bake SM  didn't pay by cards told to install Linkaja")</f>
        <v>LOL yesterday was bake SM  didn't pay by cards told to install Linkaja</v>
      </c>
    </row>
    <row r="4282" spans="1:2" x14ac:dyDescent="0.2">
      <c r="A4282" s="1" t="s">
        <v>1464</v>
      </c>
      <c r="B4282" s="1" t="str">
        <f ca="1">IFERROR(__xludf.DUMFUNCTION("GOOGLETRANSLATE(A4418,""id"",""en"")"),"I hope that  is consistent")</f>
        <v>I hope that  is consistent</v>
      </c>
    </row>
    <row r="4283" spans="1:2" x14ac:dyDescent="0.2">
      <c r="A4283" s="1" t="s">
        <v>1465</v>
      </c>
      <c r="B4283" s="1" t="str">
        <f ca="1">IFERROR(__xludf.DUMFUNCTION("GOOGLETRANSLATE(A4419,""id"",""en"")"),"Domission of South Jakarta Sis, Muhammadiyah Hospital, I searched for the confirmation of  Pon PON PCR Test  Estimated Estimated Costs also Mother BPJS")</f>
        <v>Domission of South Jakarta Sis, Muhammadiyah Hospital, I searched for the confirmation of  Pon PON PCR Test  Estimated Estimated Costs also Mother BPJS</v>
      </c>
    </row>
    <row r="4284" spans="1:2" x14ac:dyDescent="0.2">
      <c r="A4284" s="1" t="s">
        <v>1466</v>
      </c>
      <c r="B4284" s="1" t="str">
        <f ca="1">IFERROR(__xludf.DUMFUNCTION("GOOGLETRANSLATE(A4420,""id"",""en"")"),"this is very proud of ")</f>
        <v xml:space="preserve">this is very proud of </v>
      </c>
    </row>
    <row r="4285" spans="1:2" x14ac:dyDescent="0.2">
      <c r="A4285" s="1" t="s">
        <v>1467</v>
      </c>
      <c r="B4285" s="1" t="str">
        <f ca="1">IFERROR(__xludf.DUMFUNCTION("GOOGLETRANSLATE(A4421,""id"",""en"")"),"lying to say ahok hero of  members of the council")</f>
        <v>lying to say ahok hero of  members of the council</v>
      </c>
    </row>
    <row r="4286" spans="1:2" x14ac:dyDescent="0.2">
      <c r="A4286" s="1" t="s">
        <v>1468</v>
      </c>
      <c r="B4286" s="1" t="str">
        <f ca="1">IFERROR(__xludf.DUMFUNCTION("GOOGLETRANSLATE(A4422,""id"",""en"")"),"the real manifestation of  Indonesia advanced")</f>
        <v>the real manifestation of  Indonesia advanced</v>
      </c>
    </row>
    <row r="4287" spans="1:2" x14ac:dyDescent="0.2">
      <c r="A4287" s="1" t="s">
        <v>466</v>
      </c>
      <c r="B4287" s="1" t="str">
        <f ca="1">IFERROR(__xludf.DUMFUNCTION("GOOGLETRANSLATE(A4423,""id"",""en"")"),"CC gas station using a keten cellphone makes it prohibit keq and so you can smoke a gas station if so weird it is really complicated")</f>
        <v>CC gas station using a keten cellphone makes it prohibit keq and so you can smoke a gas station if so weird it is really complicated</v>
      </c>
    </row>
    <row r="4288" spans="1:2" x14ac:dyDescent="0.2">
      <c r="A4288" s="1" t="s">
        <v>1469</v>
      </c>
      <c r="B4288" s="1" t="str">
        <f ca="1">IFERROR(__xludf.DUMFUNCTION("GOOGLETRANSLATE(A4424,""id"",""en"")")," already controls the quota contents of the diesel task of the gas station using handheld so enter the number of the TLP Plate Kendara")</f>
        <v xml:space="preserve"> already controls the quota contents of the diesel task of the gas station using handheld so enter the number of the TLP Plate Kendara</v>
      </c>
    </row>
    <row r="4289" spans="1:2" x14ac:dyDescent="0.2">
      <c r="A4289" s="1" t="s">
        <v>1470</v>
      </c>
      <c r="B4289" s="1" t="str">
        <f ca="1">IFERROR(__xludf.DUMFUNCTION("GOOGLETRANSLATE(A4425,""id"",""en"")"),"'s proud community")</f>
        <v>'s proud community</v>
      </c>
    </row>
    <row r="4290" spans="1:2" x14ac:dyDescent="0.2">
      <c r="A4290" s="1" t="s">
        <v>467</v>
      </c>
      <c r="B4290" s="1" t="str">
        <f ca="1">IFERROR(__xludf.DUMFUNCTION("GOOGLETRANSLATE(A4426,""id"",""en"")"),"Talking about the command ya kiai buy cooking oil using protection care")</f>
        <v>Talking about the command ya kiai buy cooking oil using protection care</v>
      </c>
    </row>
    <row r="4291" spans="1:2" x14ac:dyDescent="0.2">
      <c r="A4291" s="1" t="s">
        <v>468</v>
      </c>
      <c r="B4291" s="1" t="str">
        <f ca="1">IFERROR(__xludf.DUMFUNCTION("GOOGLETRANSLATE(A4427,""id"",""en"")"),"complicated panya for the use of the distribution of bad -catching fuel")</f>
        <v>complicated panya for the use of the distribution of bad -catching fuel</v>
      </c>
    </row>
    <row r="4292" spans="1:2" x14ac:dyDescent="0.2">
      <c r="A4292" s="1" t="s">
        <v>1471</v>
      </c>
      <c r="B4292" s="1" t="str">
        <f ca="1">IFERROR(__xludf.DUMFUNCTION("GOOGLETRANSLATE(A4428,""id"",""en"")")," Negara")</f>
        <v xml:space="preserve"> Negara</v>
      </c>
    </row>
    <row r="4293" spans="1:2" x14ac:dyDescent="0.2">
      <c r="A4293" s="1" t="s">
        <v>1472</v>
      </c>
      <c r="B4293" s="1" t="str">
        <f ca="1">IFERROR(__xludf.DUMFUNCTION("GOOGLETRANSLATE(A4429,""id"",""en"")"),"People fired from 's Komut, pretending to be wise to bother the people of the KPK")</f>
        <v>People fired from 's Komut, pretending to be wise to bother the people of the KPK</v>
      </c>
    </row>
    <row r="4294" spans="1:2" x14ac:dyDescent="0.2">
      <c r="A4294" s="1" t="s">
        <v>469</v>
      </c>
      <c r="B4294" s="1" t="str">
        <f ca="1">IFERROR(__xludf.DUMFUNCTION("GOOGLETRANSLATE(A4430,""id"",""en"")"),"yes, just go directly to the bacot, you don't have a bad signal, the application is that the access application is just log out.")</f>
        <v>yes, just go directly to the bacot, you don't have a bad signal, the application is that the access application is just log out.</v>
      </c>
    </row>
    <row r="4295" spans="1:2" x14ac:dyDescent="0.2">
      <c r="A4295" s="1" t="s">
        <v>1473</v>
      </c>
      <c r="B4295" s="1" t="str">
        <f ca="1">IFERROR(__xludf.DUMFUNCTION("GOOGLETRANSLATE(A4432,""id"",""en"")")," BUMN Large Energy Indonesia's Important Commitment to the State")</f>
        <v xml:space="preserve"> BUMN Large Energy Indonesia's Important Commitment to the State</v>
      </c>
    </row>
    <row r="4296" spans="1:2" x14ac:dyDescent="0.2">
      <c r="A4296" s="1" t="s">
        <v>1474</v>
      </c>
      <c r="B4296" s="1" t="str">
        <f ca="1">IFERROR(__xludf.DUMFUNCTION("GOOGLETRANSLATE(A4433,""id"",""en"")"),"jakarta city city big mah delicious ")</f>
        <v xml:space="preserve">jakarta city city big mah delicious </v>
      </c>
    </row>
    <row r="4297" spans="1:2" x14ac:dyDescent="0.2">
      <c r="A4297" s="1" t="s">
        <v>470</v>
      </c>
      <c r="B4297" s="1" t="str">
        <f ca="1">IFERROR(__xludf.DUMFUNCTION("GOOGLETRANSLATE(A4434,""id"",""en"")"),"Strange breakthrough")</f>
        <v>Strange breakthrough</v>
      </c>
    </row>
    <row r="4298" spans="1:2" x14ac:dyDescent="0.2">
      <c r="A4298" s="1" t="s">
        <v>1475</v>
      </c>
      <c r="B4298" s="1" t="str">
        <f ca="1">IFERROR(__xludf.DUMFUNCTION("GOOGLETRANSLATE(A4435,""id"",""en"")"),"Believe 's Good System")</f>
        <v>Believe 's Good System</v>
      </c>
    </row>
    <row r="4299" spans="1:2" x14ac:dyDescent="0.2">
      <c r="A4299" s="1" t="s">
        <v>1476</v>
      </c>
      <c r="B4299" s="1" t="str">
        <f ca="1">IFERROR(__xludf.DUMFUNCTION("GOOGLETRANSLATE(A4436,""id"",""en"")"),"I hope  is a good community")</f>
        <v>I hope  is a good community</v>
      </c>
    </row>
    <row r="4300" spans="1:2" x14ac:dyDescent="0.2">
      <c r="A4300" s="1" t="s">
        <v>1477</v>
      </c>
      <c r="B4300" s="1" t="str">
        <f ca="1">IFERROR(__xludf.DUMFUNCTION("GOOGLETRANSLATE(A4437,""id"",""en"")")," exit wisely, not to go to the SALUR PERTALITE SOLAR SASAR, KOTA TERAMA TRUE TRUE TRUE BUY BUY USING APPLICATION JULI JD BLM")</f>
        <v xml:space="preserve"> exit wisely, not to go to the SALUR PERTALITE SOLAR SASAR, KOTA TERAMA TRUE TRUE TRUE BUY BUY USING APPLICATION JULI JD BLM</v>
      </c>
    </row>
    <row r="4301" spans="1:2" x14ac:dyDescent="0.2">
      <c r="A4301" s="1" t="s">
        <v>1478</v>
      </c>
      <c r="B4301" s="1" t="str">
        <f ca="1">IFERROR(__xludf.DUMFUNCTION("GOOGLETRANSLATE(A4438,""id"",""en"")"),"Proud of 's work")</f>
        <v>Proud of 's work</v>
      </c>
    </row>
    <row r="4302" spans="1:2" x14ac:dyDescent="0.2">
      <c r="A4302" s="1" t="s">
        <v>471</v>
      </c>
      <c r="B4302" s="1" t="str">
        <f ca="1">IFERROR(__xludf.DUMFUNCTION("GOOGLETRANSLATE(A4439,""id"",""en"")"),"misuse of fuel subsidies.")</f>
        <v>misuse of fuel subsidies.</v>
      </c>
    </row>
    <row r="4303" spans="1:2" x14ac:dyDescent="0.2">
      <c r="A4303" s="1" t="s">
        <v>1479</v>
      </c>
      <c r="B4303" s="1" t="str">
        <f ca="1">IFERROR(__xludf.DUMFUNCTION("GOOGLETRANSLATE(A4440,""id"",""en"")")," is good")</f>
        <v xml:space="preserve"> is good</v>
      </c>
    </row>
    <row r="4304" spans="1:2" x14ac:dyDescent="0.2">
      <c r="A4304" s="1" t="s">
        <v>1480</v>
      </c>
      <c r="B4304" s="1" t="str">
        <f ca="1">IFERROR(__xludf.DUMFUNCTION("GOOGLETRANSLATE(A4441,""id"",""en"")")," hard maximum results")</f>
        <v xml:space="preserve"> hard maximum results</v>
      </c>
    </row>
    <row r="4305" spans="1:2" x14ac:dyDescent="0.2">
      <c r="A4305" s="1" t="s">
        <v>1481</v>
      </c>
      <c r="B4305" s="1" t="str">
        <f ca="1">IFERROR(__xludf.DUMFUNCTION("GOOGLETRANSLATE(A4442,""id"",""en"")")," raises the downloader so that you can profit google how complicated it is safe")</f>
        <v xml:space="preserve"> raises the downloader so that you can profit google how complicated it is safe</v>
      </c>
    </row>
    <row r="4306" spans="1:2" x14ac:dyDescent="0.2">
      <c r="A4306" s="1" t="s">
        <v>1482</v>
      </c>
      <c r="B4306" s="1" t="str">
        <f ca="1">IFERROR(__xludf.DUMFUNCTION("GOOGLETRANSLATE(A4443,""id"",""en"")"),"'s Erti Community Subsidized Fuel Stability")</f>
        <v>'s Erti Community Subsidized Fuel Stability</v>
      </c>
    </row>
    <row r="4307" spans="1:2" x14ac:dyDescent="0.2">
      <c r="A4307" s="1" t="s">
        <v>1483</v>
      </c>
      <c r="B4307" s="1" t="str">
        <f ca="1">IFERROR(__xludf.DUMFUNCTION("GOOGLETRANSLATE(A4444,""id"",""en"")"),"fi normal aj is calm desc brisa well then then energy like full then  you ya kdg jd antiasauihi km jlek")</f>
        <v>fi normal aj is calm desc brisa well then then energy like full then  you ya kdg jd antiasauihi km jlek</v>
      </c>
    </row>
    <row r="4308" spans="1:2" x14ac:dyDescent="0.2">
      <c r="A4308" s="1" t="s">
        <v>1484</v>
      </c>
      <c r="B4308" s="1" t="str">
        <f ca="1">IFERROR(__xludf.DUMFUNCTION("GOOGLETRANSLATE(A4445,""id"",""en"")"),"Thanks  is good")</f>
        <v>Thanks  is good</v>
      </c>
    </row>
    <row r="4309" spans="1:2" x14ac:dyDescent="0.2">
      <c r="A4309" s="1" t="s">
        <v>472</v>
      </c>
      <c r="B4309" s="1" t="str">
        <f ca="1">IFERROR(__xludf.DUMFUNCTION("GOOGLETRANSLATE(A4446,""id"",""en"")"),"if the fuel subsidized is rare Sasar")</f>
        <v>if the fuel subsidized is rare Sasar</v>
      </c>
    </row>
    <row r="4310" spans="1:2" x14ac:dyDescent="0.2">
      <c r="A4310" s="1" t="s">
        <v>1485</v>
      </c>
      <c r="B4310" s="1" t="str">
        <f ca="1">IFERROR(__xludf.DUMFUNCTION("GOOGLETRANSLATE(A4447,""id"",""en"")")," Guarantee Safe Salur BBM Subsidized Sasar")</f>
        <v xml:space="preserve"> Guarantee Safe Salur BBM Subsidized Sasar</v>
      </c>
    </row>
    <row r="4311" spans="1:2" x14ac:dyDescent="0.2">
      <c r="A4311" s="1" t="s">
        <v>1486</v>
      </c>
      <c r="B4311" s="1" t="str">
        <f ca="1">IFERROR(__xludf.DUMFUNCTION("GOOGLETRANSLATE(A4448,""id"",""en"")"),"really top effort  brought a lot of positive benefits of the country")</f>
        <v>really top effort  brought a lot of positive benefits of the country</v>
      </c>
    </row>
    <row r="4312" spans="1:2" x14ac:dyDescent="0.2">
      <c r="A4312" s="1" t="s">
        <v>4045</v>
      </c>
      <c r="B4312" s="1" t="str">
        <f ca="1">IFERROR(__xludf.DUMFUNCTION("GOOGLETRANSLATE(A4449,""id"",""en"")"),"Terju Supporting Digital  Services")</f>
        <v>Terju Supporting Digital  Services</v>
      </c>
    </row>
    <row r="4313" spans="1:2" x14ac:dyDescent="0.2">
      <c r="A4313" s="1" t="s">
        <v>473</v>
      </c>
      <c r="B4313" s="1" t="str">
        <f ca="1">IFERROR(__xludf.DUMFUNCTION("GOOGLETRANSLATE(A4450,""id"",""en"")"),"good, hopefully the results are smooth")</f>
        <v>good, hopefully the results are smooth</v>
      </c>
    </row>
    <row r="4314" spans="1:2" x14ac:dyDescent="0.2">
      <c r="A4314" s="1" t="s">
        <v>212</v>
      </c>
      <c r="B4314" s="1" t="str">
        <f ca="1">IFERROR(__xludf.DUMFUNCTION("GOOGLETRANSLATE(A4451,""id"",""en"")"),"BUMN Minister Erick Thohir Airlines Flying Pelita Air Service Millennial Subsidiary")</f>
        <v>BUMN Minister Erick Thohir Airlines Flying Pelita Air Service Millennial Subsidiary</v>
      </c>
    </row>
    <row r="4315" spans="1:2" x14ac:dyDescent="0.2">
      <c r="A4315" s="1" t="s">
        <v>1487</v>
      </c>
      <c r="B4315" s="1" t="str">
        <f ca="1">IFERROR(__xludf.DUMFUNCTION("GOOGLETRANSLATE(A4452,""id"",""en"")")," people think about the one who is filled with gasoline that is already old")</f>
        <v xml:space="preserve"> people think about the one who is filled with gasoline that is already old</v>
      </c>
    </row>
    <row r="4316" spans="1:2" x14ac:dyDescent="0.2">
      <c r="A4316" s="1" t="s">
        <v>1488</v>
      </c>
      <c r="B4316" s="1" t="str">
        <f ca="1">IFERROR(__xludf.DUMFUNCTION("GOOGLETRANSLATE(A4453,""id"",""en"")"),"You haven't accepted  to develop the app, I didn't tick up")</f>
        <v>You haven't accepted  to develop the app, I didn't tick up</v>
      </c>
    </row>
    <row r="4317" spans="1:2" x14ac:dyDescent="0.2">
      <c r="A4317" s="1" t="s">
        <v>1131</v>
      </c>
      <c r="B4317" s="1" t="str">
        <f ca="1">IFERROR(__xludf.DUMFUNCTION("GOOGLETRANSLATE(A4454,""id"",""en"")")," Patra Niaga Testing Pertalite Solar Trial for List")</f>
        <v xml:space="preserve"> Patra Niaga Testing Pertalite Solar Trial for List</v>
      </c>
    </row>
    <row r="4318" spans="1:2" x14ac:dyDescent="0.2">
      <c r="A4318" s="1" t="s">
        <v>474</v>
      </c>
      <c r="B4318" s="1" t="str">
        <f ca="1">IFERROR(__xludf.DUMFUNCTION("GOOGLETRANSLATE(A4455,""id"",""en"")"),"mumet")</f>
        <v>mumet</v>
      </c>
    </row>
    <row r="4319" spans="1:2" x14ac:dyDescent="0.2">
      <c r="A4319" s="1" t="s">
        <v>1489</v>
      </c>
      <c r="B4319" s="1" t="str">
        <f ca="1">IFERROR(__xludf.DUMFUNCTION("GOOGLETRANSLATE(A4456,""id"",""en"")"),"'s work is doubtful")</f>
        <v>'s work is doubtful</v>
      </c>
    </row>
    <row r="4320" spans="1:2" x14ac:dyDescent="0.2">
      <c r="A4320" s="1" t="s">
        <v>1490</v>
      </c>
      <c r="B4320" s="1" t="str">
        <f ca="1">IFERROR(__xludf.DUMFUNCTION("GOOGLETRANSLATE(A4457,""id"",""en"")")," is a good spirit of the community")</f>
        <v xml:space="preserve"> is a good spirit of the community</v>
      </c>
    </row>
    <row r="4321" spans="1:2" x14ac:dyDescent="0.2">
      <c r="A4321" s="1" t="s">
        <v>1491</v>
      </c>
      <c r="B4321" s="1" t="str">
        <f ca="1">IFERROR(__xludf.DUMFUNCTION("GOOGLETRANSLATE(A4458,""id"",""en"")"),"Please respond to 's workers")</f>
        <v>Please respond to 's workers</v>
      </c>
    </row>
    <row r="4322" spans="1:2" x14ac:dyDescent="0.2">
      <c r="A4322" s="1" t="s">
        <v>1492</v>
      </c>
      <c r="B4322" s="1" t="str">
        <f ca="1">IFERROR(__xludf.DUMFUNCTION("GOOGLETRANSLATE(A4459,""id"",""en"")"),"'s results recorded a profit")</f>
        <v>'s results recorded a profit</v>
      </c>
    </row>
    <row r="4323" spans="1:2" x14ac:dyDescent="0.2">
      <c r="A4323" s="1" t="s">
        <v>475</v>
      </c>
      <c r="B4323" s="1" t="str">
        <f ca="1">IFERROR(__xludf.DUMFUNCTION("GOOGLETRANSLATE(A4460,""id"",""en"")"),"the path of community subsidies")</f>
        <v>the path of community subsidies</v>
      </c>
    </row>
    <row r="4324" spans="1:2" x14ac:dyDescent="0.2">
      <c r="A4324" s="1" t="s">
        <v>1493</v>
      </c>
      <c r="B4324" s="1" t="str">
        <f ca="1">IFERROR(__xludf.DUMFUNCTION("GOOGLETRANSLATE(A4461,""id"",""en"")")," is stupid, when the contents of the gasoline don't come out of the cellphone, making it set")</f>
        <v xml:space="preserve"> is stupid, when the contents of the gasoline don't come out of the cellphone, making it set</v>
      </c>
    </row>
    <row r="4325" spans="1:2" x14ac:dyDescent="0.2">
      <c r="A4325" s="1" t="s">
        <v>1494</v>
      </c>
      <c r="B4325" s="1" t="str">
        <f ca="1">IFERROR(__xludf.DUMFUNCTION("GOOGLETRANSLATE(A4462,""id"",""en"")")," Emotional Functional Benefits")</f>
        <v xml:space="preserve"> Emotional Functional Benefits</v>
      </c>
    </row>
    <row r="4326" spans="1:2" x14ac:dyDescent="0.2">
      <c r="A4326" s="1" t="s">
        <v>1495</v>
      </c>
      <c r="B4326" s="1" t="str">
        <f ca="1">IFERROR(__xludf.DUMFUNCTION("GOOGLETRANSLATE(A4463,""id"",""en"")")," Good Business")</f>
        <v xml:space="preserve"> Good Business</v>
      </c>
    </row>
    <row r="4327" spans="1:2" x14ac:dyDescent="0.2">
      <c r="A4327" s="1" t="s">
        <v>476</v>
      </c>
      <c r="B4327" s="1" t="str">
        <f ca="1">IFERROR(__xludf.DUMFUNCTION("GOOGLETRANSLATE(A4464,""id"",""en"")"),"Hello, wisely buy using the project application for example, the province of the city, the city of the gas station, the nature of the National Gedubuk, the National Project.")</f>
        <v>Hello, wisely buy using the project application for example, the province of the city, the city of the gas station, the nature of the National Gedubuk, the National Project.</v>
      </c>
    </row>
    <row r="4328" spans="1:2" x14ac:dyDescent="0.2">
      <c r="A4328" s="1" t="s">
        <v>1496</v>
      </c>
      <c r="B4328" s="1" t="str">
        <f ca="1">IFERROR(__xludf.DUMFUNCTION("GOOGLETRANSLATE(A4465,""id"",""en"")")," entered Top Strongest Oil Amp Gas Brand Brand Brand Finace")</f>
        <v xml:space="preserve"> entered Top Strongest Oil Amp Gas Brand Brand Brand Finace</v>
      </c>
    </row>
    <row r="4329" spans="1:2" x14ac:dyDescent="0.2">
      <c r="A4329" s="1" t="s">
        <v>477</v>
      </c>
      <c r="B4329" s="1" t="str">
        <f ca="1">IFERROR(__xludf.DUMFUNCTION("GOOGLETRANSLATE(A4466,""id"",""en"")"),"I hope the good way to be aware of fuel subsidies is misused")</f>
        <v>I hope the good way to be aware of fuel subsidies is misused</v>
      </c>
    </row>
    <row r="4330" spans="1:2" x14ac:dyDescent="0.2">
      <c r="A4330" s="1" t="s">
        <v>1497</v>
      </c>
      <c r="B4330" s="1" t="str">
        <f ca="1">IFERROR(__xludf.DUMFUNCTION("GOOGLETRANSLATE(A4467,""id"",""en"")"),"People fired from 's Komut Sok Wisely Ngawur Nembrubiin the people of the KPK already examined Ahok suspected that there was a Corruption  TTAN")</f>
        <v>People fired from 's Komut Sok Wisely Ngawur Nembrubiin the people of the KPK already examined Ahok suspected that there was a Corruption  TTAN</v>
      </c>
    </row>
    <row r="4331" spans="1:2" x14ac:dyDescent="0.2">
      <c r="A4331" s="1" t="s">
        <v>5203</v>
      </c>
      <c r="B4331" s="1" t="str">
        <f ca="1">IFERROR(__xludf.DUMFUNCTION("GOOGLETRANSLATE(A4468,""id"",""en"")"),"Forbidding Playing Hp Pom Tell Using   Transaction wkwk")</f>
        <v>Forbidding Playing Hp Pom Tell Using   Transaction wkwk</v>
      </c>
    </row>
    <row r="4332" spans="1:2" x14ac:dyDescent="0.2">
      <c r="A4332" s="1" t="s">
        <v>1498</v>
      </c>
      <c r="B4332" s="1" t="str">
        <f ca="1">IFERROR(__xludf.DUMFUNCTION("GOOGLETRANSLATE(A4469,""id"",""en"")"),"Salute  Design Project")</f>
        <v>Salute  Design Project</v>
      </c>
    </row>
    <row r="4333" spans="1:2" x14ac:dyDescent="0.2">
      <c r="A4333" s="1" t="s">
        <v>478</v>
      </c>
      <c r="B4333" s="1" t="str">
        <f ca="1">IFERROR(__xludf.DUMFUNCTION("GOOGLETRANSLATE(A4470,""id"",""en"")"),"Termination of the Sasar Direction")</f>
        <v>Termination of the Sasar Direction</v>
      </c>
    </row>
    <row r="4334" spans="1:2" x14ac:dyDescent="0.2">
      <c r="A4334" s="1" t="s">
        <v>5204</v>
      </c>
      <c r="B4334" s="1" t="str">
        <f ca="1">IFERROR(__xludf.DUMFUNCTION("GOOGLETRANSLATE(A4471,""id"",""en"")")," original  is just a waste of money to pay the money to pay the apk, yes, just tell me to use it from not using it")</f>
        <v xml:space="preserve"> original  is just a waste of money to pay the money to pay the apk, yes, just tell me to use it from not using it</v>
      </c>
    </row>
    <row r="4335" spans="1:2" x14ac:dyDescent="0.2">
      <c r="A4335" s="1" t="s">
        <v>1499</v>
      </c>
      <c r="B4335" s="1" t="str">
        <f ca="1">IFERROR(__xludf.DUMFUNCTION("GOOGLETRANSLATE(A4472,""id"",""en"")"),"really top  hopefully good")</f>
        <v>really top  hopefully good</v>
      </c>
    </row>
    <row r="4336" spans="1:2" x14ac:dyDescent="0.2">
      <c r="A4336" s="1" t="s">
        <v>1500</v>
      </c>
      <c r="B4336" s="1" t="str">
        <f ca="1">IFERROR(__xludf.DUMFUNCTION("GOOGLETRANSLATE(A4473,""id"",""en"")")," Demands SpBE Min")</f>
        <v xml:space="preserve"> Demands SpBE Min</v>
      </c>
    </row>
    <row r="4337" spans="1:2" x14ac:dyDescent="0.2">
      <c r="A4337" s="1" t="s">
        <v>1501</v>
      </c>
      <c r="B4337" s="1" t="str">
        <f ca="1">IFERROR(__xludf.DUMFUNCTION("GOOGLETRANSLATE(A4474,""id"",""en"")"),"good efforts, , hopefully run smoothly")</f>
        <v>good efforts, , hopefully run smoothly</v>
      </c>
    </row>
    <row r="4338" spans="1:2" x14ac:dyDescent="0.2">
      <c r="A4338" s="1" t="s">
        <v>3956</v>
      </c>
      <c r="B4338" s="1" t="str">
        <f ca="1">IFERROR(__xludf.DUMFUNCTION("GOOGLETRANSLATE(A4475,""id"",""en"")"),"Alhamdulillah, if the Digital  service is worth it, hope")</f>
        <v>Alhamdulillah, if the Digital  service is worth it, hope</v>
      </c>
    </row>
    <row r="4339" spans="1:2" x14ac:dyDescent="0.2">
      <c r="A4339" s="1" t="s">
        <v>1502</v>
      </c>
      <c r="B4339" s="1" t="str">
        <f ca="1">IFERROR(__xludf.DUMFUNCTION("GOOGLETRANSLATE(A4476,""id"",""en"")"),"PT  Anak Business PT  Patra Niaga Plans to Set Buy Special Fuel Types")</f>
        <v>PT  Anak Business PT  Patra Niaga Plans to Set Buy Special Fuel Types</v>
      </c>
    </row>
    <row r="4340" spans="1:2" x14ac:dyDescent="0.2">
      <c r="A4340" s="1" t="s">
        <v>1503</v>
      </c>
      <c r="B4340" s="1" t="str">
        <f ca="1">IFERROR(__xludf.DUMFUNCTION("GOOGLETRANSLATE(A4477,""id"",""en"")")," really")</f>
        <v xml:space="preserve"> really</v>
      </c>
    </row>
    <row r="4341" spans="1:2" x14ac:dyDescent="0.2">
      <c r="A4341" s="1" t="s">
        <v>5205</v>
      </c>
      <c r="B4341" s="1" t="str">
        <f ca="1">IFERROR(__xludf.DUMFUNCTION("GOOGLETRANSLATE(A4478,""id"",""en"")"),"Imagine the old battery battery brought an Astrea gas station right until the apps   kek wkwkwk tu parents just hold the smartphone")</f>
        <v>Imagine the old battery battery brought an Astrea gas station right until the apps   kek wkwkwk tu parents just hold the smartphone</v>
      </c>
    </row>
    <row r="4342" spans="1:2" x14ac:dyDescent="0.2">
      <c r="A4342" s="1" t="s">
        <v>1504</v>
      </c>
      <c r="B4342" s="1" t="str">
        <f ca="1">IFERROR(__xludf.DUMFUNCTION("GOOGLETRANSLATE(A4479,""id"",""en"")")," thinks it needs the people")</f>
        <v xml:space="preserve"> thinks it needs the people</v>
      </c>
    </row>
    <row r="4343" spans="1:2" x14ac:dyDescent="0.2">
      <c r="A4343" s="1" t="s">
        <v>5206</v>
      </c>
      <c r="B4343" s="1" t="str">
        <f ca="1">IFERROR(__xludf.DUMFUNCTION("GOOGLETRANSLATE(A4480,""id"",""en"")"),"  's Pertalite SPBU SPBU")</f>
        <v xml:space="preserve">  's Pertalite SPBU SPBU</v>
      </c>
    </row>
    <row r="4344" spans="1:2" x14ac:dyDescent="0.2">
      <c r="A4344" s="1" t="s">
        <v>1505</v>
      </c>
      <c r="B4344" s="1" t="str">
        <f ca="1">IFERROR(__xludf.DUMFUNCTION("GOOGLETRANSLATE(A4481,""id"",""en"")"),"'s loose love is good")</f>
        <v>'s loose love is good</v>
      </c>
    </row>
    <row r="4345" spans="1:2" x14ac:dyDescent="0.2">
      <c r="A4345" s="1" t="s">
        <v>1506</v>
      </c>
      <c r="B4345" s="1" t="str">
        <f ca="1">IFERROR(__xludf.DUMFUNCTION("GOOGLETRANSLATE(A4482,""id"",""en"")"),"buy cooking oil using protection care to buy gasoline using a good  marketing apk")</f>
        <v>buy cooking oil using protection care to buy gasoline using a good  marketing apk</v>
      </c>
    </row>
    <row r="4346" spans="1:2" x14ac:dyDescent="0.2">
      <c r="A4346" s="1" t="s">
        <v>1507</v>
      </c>
      <c r="B4346" s="1" t="str">
        <f ca="1">IFERROR(__xludf.DUMFUNCTION("GOOGLETRANSLATE(A4483,""id"",""en"")")," wisely both the community")</f>
        <v xml:space="preserve"> wisely both the community</v>
      </c>
    </row>
    <row r="4347" spans="1:2" x14ac:dyDescent="0.2">
      <c r="A4347" s="1" t="s">
        <v>1508</v>
      </c>
      <c r="B4347" s="1" t="str">
        <f ca="1">IFERROR(__xludf.DUMFUNCTION("GOOGLETRANSLATE(A4484,""id"",""en"")"),"The hearts of  gasoline trucks are as easy as burn")</f>
        <v>The hearts of  gasoline trucks are as easy as burn</v>
      </c>
    </row>
    <row r="4348" spans="1:2" x14ac:dyDescent="0.2">
      <c r="A4348" s="1" t="s">
        <v>5207</v>
      </c>
      <c r="B4348" s="1" t="str">
        <f ca="1">IFERROR(__xludf.DUMFUNCTION("GOOGLETRANSLATE(A4485,""id"",""en"")"),"prohibit the internet  phone using the internet")</f>
        <v>prohibit the internet  phone using the internet</v>
      </c>
    </row>
    <row r="4349" spans="1:2" x14ac:dyDescent="0.2">
      <c r="A4349" s="1" t="s">
        <v>479</v>
      </c>
      <c r="B4349" s="1" t="str">
        <f ca="1">IFERROR(__xludf.DUMFUNCTION("GOOGLETRANSLATE(A4486,""id"",""en"")"),"support what the policy is good for the community")</f>
        <v>support what the policy is good for the community</v>
      </c>
    </row>
    <row r="4350" spans="1:2" x14ac:dyDescent="0.2">
      <c r="A4350" s="1" t="s">
        <v>480</v>
      </c>
      <c r="B4350" s="1" t="str">
        <f ca="1">IFERROR(__xludf.DUMFUNCTION("GOOGLETRANSLATE(A4487,""id"",""en"")"),"this is cool business work")</f>
        <v>this is cool business work</v>
      </c>
    </row>
    <row r="4351" spans="1:2" x14ac:dyDescent="0.2">
      <c r="A4351" s="1" t="s">
        <v>1509</v>
      </c>
      <c r="B4351" s="1" t="str">
        <f ca="1">IFERROR(__xludf.DUMFUNCTION("GOOGLETRANSLATE(A4488,""id"",""en"")"),"SOLUTION OF DISCOUNT TAKING  SALUR SUBSIDI SUBSIDIARY")</f>
        <v>SOLUTION OF DISCOUNT TAKING  SALUR SUBSIDI SUBSIDIARY</v>
      </c>
    </row>
    <row r="4352" spans="1:2" x14ac:dyDescent="0.2">
      <c r="A4352" s="1" t="s">
        <v>481</v>
      </c>
      <c r="B4352" s="1" t="str">
        <f ca="1">IFERROR(__xludf.DUMFUNCTION("GOOGLETRANSLATE(A4490,""id"",""en"")"),"Success of Indonesian Petamina")</f>
        <v>Success of Indonesian Petamina</v>
      </c>
    </row>
    <row r="4353" spans="1:2" x14ac:dyDescent="0.2">
      <c r="A4353" s="1" t="s">
        <v>482</v>
      </c>
      <c r="B4353" s="1" t="str">
        <f ca="1">IFERROR(__xludf.DUMFUNCTION("GOOGLETRANSLATE(A4491,""id"",""en"")"),"the data is direct the identification bell entered the criteria")</f>
        <v>the data is direct the identification bell entered the criteria</v>
      </c>
    </row>
    <row r="4354" spans="1:2" x14ac:dyDescent="0.2">
      <c r="A4354" s="1" t="s">
        <v>1510</v>
      </c>
      <c r="B4354" s="1" t="str">
        <f ca="1">IFERROR(__xludf.DUMFUNCTION("GOOGLETRANSLATE(A4492,""id"",""en"")")," Patra Niaga Community Buy Pertalite Solar Subsidies SPBU July")</f>
        <v xml:space="preserve"> Patra Niaga Community Buy Pertalite Solar Subsidies SPBU July</v>
      </c>
    </row>
    <row r="4355" spans="1:2" x14ac:dyDescent="0.2">
      <c r="A4355" s="1" t="s">
        <v>483</v>
      </c>
      <c r="B4355" s="1" t="str">
        <f ca="1">IFERROR(__xludf.DUMFUNCTION("GOOGLETRANSLATE(A4493,""id"",""en"")"),"For Pertalite Solar Data")</f>
        <v>For Pertalite Solar Data</v>
      </c>
    </row>
    <row r="4356" spans="1:2" x14ac:dyDescent="0.2">
      <c r="A4356" s="1" t="s">
        <v>1511</v>
      </c>
      <c r="B4356" s="1" t="str">
        <f ca="1">IFERROR(__xludf.DUMFUNCTION("GOOGLETRANSLATE(A4494,""id"",""en"")"),"If you say wisely  Operators are not far away to play wisely regulatory orders for the dangers of the community and then the right to be responsible for ruwetnesia")</f>
        <v>If you say wisely  Operators are not far away to play wisely regulatory orders for the dangers of the community and then the right to be responsible for ruwetnesia</v>
      </c>
    </row>
    <row r="4357" spans="1:2" x14ac:dyDescent="0.2">
      <c r="A4357" s="1" t="s">
        <v>1512</v>
      </c>
      <c r="B4357" s="1" t="str">
        <f ca="1">IFERROR(__xludf.DUMFUNCTION("GOOGLETRANSLATE(A4495,""id"",""en"")"),"agreed strangely, the bank and  saradis are different")</f>
        <v>agreed strangely, the bank and  saradis are different</v>
      </c>
    </row>
    <row r="4358" spans="1:2" x14ac:dyDescent="0.2">
      <c r="A4358" s="1" t="s">
        <v>484</v>
      </c>
      <c r="B4358" s="1" t="str">
        <f ca="1">IFERROR(__xludf.DUMFUNCTION("GOOGLETRANSLATE(A4496,""id"",""en"")"),"better not supsidi from complicated mah")</f>
        <v>better not supsidi from complicated mah</v>
      </c>
    </row>
    <row r="4359" spans="1:2" x14ac:dyDescent="0.2">
      <c r="A4359" s="1" t="s">
        <v>1513</v>
      </c>
      <c r="B4359" s="1" t="str">
        <f ca="1">IFERROR(__xludf.DUMFUNCTION("GOOGLETRANSLATE(A4497,""id"",""en"")"),"I don't know the operation of the app, the parent who doesn't understand the Android iOS, the BBM vehicle, the BBM vehicle doesn't use the Android Survey, it's already arrived in  like watching Merry Riana.")</f>
        <v>I don't know the operation of the app, the parent who doesn't understand the Android iOS, the BBM vehicle, the BBM vehicle doesn't use the Android Survey, it's already arrived in  like watching Merry Riana.</v>
      </c>
    </row>
    <row r="4360" spans="1:2" x14ac:dyDescent="0.2">
      <c r="A4360" s="1" t="s">
        <v>3976</v>
      </c>
      <c r="B4360" s="1" t="str">
        <f ca="1">IFERROR(__xludf.DUMFUNCTION("GOOGLETRANSLATE(A4498,""id"",""en"")"),"Buy BBM  DIGITALIZIN SYSTEM Anticipate BUY BUY BBM")</f>
        <v>Buy BBM  DIGITALIZIN SYSTEM Anticipate BUY BUY BBM</v>
      </c>
    </row>
    <row r="4361" spans="1:2" x14ac:dyDescent="0.2">
      <c r="A4361" s="1" t="s">
        <v>1514</v>
      </c>
      <c r="B4361" s="1" t="str">
        <f ca="1">IFERROR(__xludf.DUMFUNCTION("GOOGLETRANSLATE(A4499,""id"",""en"")")," Kek Wkwk")</f>
        <v xml:space="preserve"> Kek Wkwk</v>
      </c>
    </row>
    <row r="4362" spans="1:2" x14ac:dyDescent="0.2">
      <c r="A4362" s="1" t="s">
        <v>1515</v>
      </c>
      <c r="B4362" s="1" t="str">
        <f ca="1">IFERROR(__xludf.DUMFUNCTION("GOOGLETRANSLATE(A4500,""id"",""en"")"),"Front yes ")</f>
        <v xml:space="preserve">Front yes </v>
      </c>
    </row>
    <row r="4363" spans="1:2" x14ac:dyDescent="0.2">
      <c r="A4363" s="1" t="s">
        <v>485</v>
      </c>
      <c r="B4363" s="1" t="str">
        <f ca="1">IFERROR(__xludf.DUMFUNCTION("GOOGLETRANSLATE(A4501,""id"",""en"")"),"Pay Digital Phone Applications")</f>
        <v>Pay Digital Phone Applications</v>
      </c>
    </row>
    <row r="4364" spans="1:2" x14ac:dyDescent="0.2">
      <c r="A4364" s="1" t="s">
        <v>1516</v>
      </c>
      <c r="B4364" s="1" t="str">
        <f ca="1">IFERROR(__xludf.DUMFUNCTION("GOOGLETRANSLATE(A4502,""id"",""en"")")," Sasar Subsidy Level Testing Pertalite Solar Trials To Register So Cool  Layan Good")</f>
        <v xml:space="preserve"> Sasar Subsidy Level Testing Pertalite Solar Trials To Register So Cool  Layan Good</v>
      </c>
    </row>
    <row r="4365" spans="1:2" x14ac:dyDescent="0.2">
      <c r="A4365" s="1" t="s">
        <v>1517</v>
      </c>
      <c r="B4365" s="1" t="str">
        <f ca="1">IFERROR(__xludf.DUMFUNCTION("GOOGLETRANSLATE(A4503,""id"",""en"")")," Manage Religious Nysta")</f>
        <v xml:space="preserve"> Manage Religious Nysta</v>
      </c>
    </row>
    <row r="4366" spans="1:2" x14ac:dyDescent="0.2">
      <c r="A4366" s="1" t="s">
        <v>5208</v>
      </c>
      <c r="B4366" s="1" t="str">
        <f ca="1">IFERROR(__xludf.DUMFUNCTION("GOOGLETRANSLATE(A4504,""id"",""en"")"),"   Products Pertamax Bright Gas Permit Tag Let's take part in the   's guessing Giveaway quiz")</f>
        <v xml:space="preserve">   Products Pertamax Bright Gas Permit Tag Let's take part in the   's guessing Giveaway quiz</v>
      </c>
    </row>
    <row r="4367" spans="1:2" x14ac:dyDescent="0.2">
      <c r="A4367" s="1" t="s">
        <v>486</v>
      </c>
      <c r="B4367" s="1" t="str">
        <f ca="1">IFERROR(__xludf.DUMFUNCTION("GOOGLETRANSLATE(A4505,""id"",""en"")"),"LAKU BBRP APPROACHING HTTPS")</f>
        <v>LAKU BBRP APPROACHING HTTPS</v>
      </c>
    </row>
    <row r="4368" spans="1:2" x14ac:dyDescent="0.2">
      <c r="A4368" s="1" t="s">
        <v>1518</v>
      </c>
      <c r="B4368" s="1" t="str">
        <f ca="1">IFERROR(__xludf.DUMFUNCTION("GOOGLETRANSLATE(A4506,""id"",""en"")"),"here is a good business ")</f>
        <v xml:space="preserve">here is a good business </v>
      </c>
    </row>
    <row r="4369" spans="1:2" x14ac:dyDescent="0.2">
      <c r="A4369" s="1" t="s">
        <v>487</v>
      </c>
      <c r="B4369" s="1" t="str">
        <f ca="1">IFERROR(__xludf.DUMFUNCTION("GOOGLETRANSLATE(A4507,""id"",""en"")"),"complicated solemn for the distribution of bad -catching fuel that is involved in making a complicated people's solution")</f>
        <v>complicated solemn for the distribution of bad -catching fuel that is involved in making a complicated people's solution</v>
      </c>
    </row>
    <row r="4370" spans="1:2" x14ac:dyDescent="0.2">
      <c r="A4370" s="1" t="s">
        <v>1519</v>
      </c>
      <c r="B4370" s="1" t="str">
        <f ca="1">IFERROR(__xludf.DUMFUNCTION("GOOGLETRANSLATE(A4508,""id"",""en"")"),"Proud of 's work")</f>
        <v>Proud of 's work</v>
      </c>
    </row>
    <row r="4371" spans="1:2" x14ac:dyDescent="0.2">
      <c r="A4371" s="1" t="s">
        <v>488</v>
      </c>
      <c r="B4371" s="1" t="str">
        <f ca="1">IFERROR(__xludf.DUMFUNCTION("GOOGLETRANSLATE(A4509,""id"",""en"")"),"I hope people understand orderly buying fuel")</f>
        <v>I hope people understand orderly buying fuel</v>
      </c>
    </row>
    <row r="4372" spans="1:2" x14ac:dyDescent="0.2">
      <c r="A4372" s="1" t="s">
        <v>1520</v>
      </c>
      <c r="B4372" s="1" t="str">
        <f ca="1">IFERROR(__xludf.DUMFUNCTION("GOOGLETRANSLATE(A4510,""id"",""en"")"),"Moving the capital of the  application that is difficult to buy Solar Pertalite gasoline")</f>
        <v>Moving the capital of the  application that is difficult to buy Solar Pertalite gasoline</v>
      </c>
    </row>
    <row r="4373" spans="1:2" x14ac:dyDescent="0.2">
      <c r="A4373" s="1" t="s">
        <v>1521</v>
      </c>
      <c r="B4373" s="1" t="str">
        <f ca="1">IFERROR(__xludf.DUMFUNCTION("GOOGLETRANSLATE(A4511,""id"",""en"")"),", please make the people who buy pertalite fuel, yes, you have to register if the gasoline")</f>
        <v>, please make the people who buy pertalite fuel, yes, you have to register if the gasoline</v>
      </c>
    </row>
    <row r="4374" spans="1:2" x14ac:dyDescent="0.2">
      <c r="A4374" s="1" t="s">
        <v>1522</v>
      </c>
      <c r="B4374" s="1" t="str">
        <f ca="1">IFERROR(__xludf.DUMFUNCTION("GOOGLETRANSLATE(A4512,""id"",""en"")"),"the complicated mom is hpx hp hp lok buy bengsin and then pickpocketed the cellphone using a tours of the stupid tour, it uses  who bought it or not to pay POM Truz which loses the CRT")</f>
        <v>the complicated mom is hpx hp hp lok buy bengsin and then pickpocketed the cellphone using a tours of the stupid tour, it uses  who bought it or not to pay POM Truz which loses the CRT</v>
      </c>
    </row>
    <row r="4375" spans="1:2" x14ac:dyDescent="0.2">
      <c r="A4375" s="1" t="s">
        <v>1523</v>
      </c>
      <c r="B4375" s="1" t="str">
        <f ca="1">IFERROR(__xludf.DUMFUNCTION("GOOGLETRANSLATE(A4513,""id"",""en"")"),"'s appreciation")</f>
        <v>'s appreciation</v>
      </c>
    </row>
    <row r="4376" spans="1:2" x14ac:dyDescent="0.2">
      <c r="A4376" s="1" t="s">
        <v>1524</v>
      </c>
      <c r="B4376" s="1" t="str">
        <f ca="1">IFERROR(__xludf.DUMFUNCTION("GOOGLETRANSLATE(A4514,""id"",""en"")"),"hard effort  BBM community subsidies")</f>
        <v>hard effort  BBM community subsidies</v>
      </c>
    </row>
    <row r="4377" spans="1:2" x14ac:dyDescent="0.2">
      <c r="A4377" s="1" t="s">
        <v>1525</v>
      </c>
      <c r="B4377" s="1" t="str">
        <f ca="1">IFERROR(__xludf.DUMFUNCTION("GOOGLETRANSLATE(A4515,""id"",""en"")"),"mantul here  front")</f>
        <v>mantul here  front</v>
      </c>
    </row>
    <row r="4378" spans="1:2" x14ac:dyDescent="0.2">
      <c r="A4378" s="1" t="s">
        <v>1526</v>
      </c>
      <c r="B4378" s="1" t="str">
        <f ca="1">IFERROR(__xludf.DUMFUNCTION("GOOGLETRANSLATE(A4516,""id"",""en"")"),"I hope the results of the trial of the breakdown of 's goodjob")</f>
        <v>I hope the results of the trial of the breakdown of 's goodjob</v>
      </c>
    </row>
    <row r="4379" spans="1:2" x14ac:dyDescent="0.2">
      <c r="A4379" s="1" t="s">
        <v>489</v>
      </c>
      <c r="B4379" s="1" t="str">
        <f ca="1">IFERROR(__xludf.DUMFUNCTION("GOOGLETRANSLATE(A4517,""id"",""en"")"),"if the direction is safe for sure")</f>
        <v>if the direction is safe for sure</v>
      </c>
    </row>
    <row r="4380" spans="1:2" x14ac:dyDescent="0.2">
      <c r="A4380" s="1" t="s">
        <v>1527</v>
      </c>
      <c r="B4380" s="1" t="str">
        <f ca="1">IFERROR(__xludf.DUMFUNCTION("GOOGLETRANSLATE(A4518,""id"",""en"")"),"Definitely  business both the community")</f>
        <v>Definitely  business both the community</v>
      </c>
    </row>
    <row r="4381" spans="1:2" x14ac:dyDescent="0.2">
      <c r="A4381" s="1" t="s">
        <v>1528</v>
      </c>
      <c r="B4381" s="1" t="str">
        <f ca="1">IFERROR(__xludf.DUMFUNCTION("GOOGLETRANSLATE(A4519,""id"",""en"")"),"now I have used Pertamini remote remote trucks of  CMN can be rare for Oertalite")</f>
        <v>now I have used Pertamini remote remote trucks of  CMN can be rare for Oertalite</v>
      </c>
    </row>
    <row r="4382" spans="1:2" x14ac:dyDescent="0.2">
      <c r="A4382" s="1" t="s">
        <v>3993</v>
      </c>
      <c r="B4382" s="1" t="str">
        <f ca="1">IFERROR(__xludf.DUMFUNCTION("GOOGLETRANSLATE(A4520,""id"",""en"")"),"Salur Pertalite Solar Layan Digital  Test Moga Way smoothly")</f>
        <v>Salur Pertalite Solar Layan Digital  Test Moga Way smoothly</v>
      </c>
    </row>
    <row r="4383" spans="1:2" x14ac:dyDescent="0.2">
      <c r="A4383" s="1" t="s">
        <v>1529</v>
      </c>
      <c r="B4383" s="1" t="str">
        <f ca="1">IFERROR(__xludf.DUMFUNCTION("GOOGLETRANSLATE(A4521,""id"",""en"")"),"Cokcok Pajek Ku Dianggarno Gawe Budget  App")</f>
        <v>Cokcok Pajek Ku Dianggarno Gawe Budget  App</v>
      </c>
    </row>
    <row r="4384" spans="1:2" x14ac:dyDescent="0.2">
      <c r="A4384" s="1" t="s">
        <v>5209</v>
      </c>
      <c r="B4384" s="1" t="str">
        <f ca="1">IFERROR(__xludf.DUMFUNCTION("GOOGLETRANSLATE(A4522,""id"",""en"")"),"trial buying pertalite using   applications complicated life limits")</f>
        <v>trial buying pertalite using   applications complicated life limits</v>
      </c>
    </row>
    <row r="4385" spans="1:2" x14ac:dyDescent="0.2">
      <c r="A4385" s="1" t="s">
        <v>5210</v>
      </c>
      <c r="B4385" s="1" t="str">
        <f ca="1">IFERROR(__xludf.DUMFUNCTION("GOOGLETRANSLATE(A4523,""id"",""en"")"),"Later the pillion is the one who sall  ")</f>
        <v xml:space="preserve">Later the pillion is the one who sall  </v>
      </c>
    </row>
    <row r="4386" spans="1:2" x14ac:dyDescent="0.2">
      <c r="A4386" s="1" t="s">
        <v>5211</v>
      </c>
      <c r="B4386" s="1" t="str">
        <f ca="1">IFERROR(__xludf.DUMFUNCTION("GOOGLETRANSLATE(A4524,""id"",""en"")"),"YHHAH EMPLOYEE TRAINING USING   KI YO BOSS BOSS DO HOPE BENU MELU TRAINING BEN RA GERGER NANG GROUP AE Until Group Olga Dicamed Tadekno, Yuk Training Think Thayang Whut Random Thoughts Just Did Did Did")</f>
        <v>YHHAH EMPLOYEE TRAINING USING   KI YO BOSS BOSS DO HOPE BENU MELU TRAINING BEN RA GERGER NANG GROUP AE Until Group Olga Dicamed Tadekno, Yuk Training Think Thayang Whut Random Thoughts Just Did Did Did</v>
      </c>
    </row>
    <row r="4387" spans="1:2" x14ac:dyDescent="0.2">
      <c r="A4387" s="1" t="s">
        <v>5212</v>
      </c>
      <c r="B4387" s="1" t="str">
        <f ca="1">IFERROR(__xludf.DUMFUNCTION("GOOGLETRANSLATE(A4525,""id"",""en"")"),"Mbuh Teh Yen Terpor Gas Station Gas Strainted  Employee   Pay Money the Money Touch Money Regional Kebumen area HFT")</f>
        <v>Mbuh Teh Yen Terpor Gas Station Gas Strainted  Employee   Pay Money the Money Touch Money Regional Kebumen area HFT</v>
      </c>
    </row>
    <row r="4388" spans="1:2" x14ac:dyDescent="0.2">
      <c r="A4388" s="1" t="s">
        <v>5213</v>
      </c>
      <c r="B4388" s="1" t="str">
        <f ca="1">IFERROR(__xludf.DUMFUNCTION("GOOGLETRANSLATE(A4526,""id"",""en"")"),"Gas Station Link Just   Pom APP  DESTORY DEST NOT REST ARE THE SU MO JOMBANG SOLO Toll Road Area")</f>
        <v>Gas Station Link Just   Pom APP  DESTORY DEST NOT REST ARE THE SU MO JOMBANG SOLO Toll Road Area</v>
      </c>
    </row>
    <row r="4389" spans="1:2" x14ac:dyDescent="0.2">
      <c r="A4389" s="1" t="s">
        <v>5214</v>
      </c>
      <c r="B4389" s="1" t="str">
        <f ca="1">IFERROR(__xludf.DUMFUNCTION("GOOGLETRANSLATE(A4527,""id"",""en"")"),"Ummm Ngene Mas Laku for   Discourse Buy Pertalite Application Main Motif App   Promo Linkaja")</f>
        <v>Ummm Ngene Mas Laku for   Discourse Buy Pertalite Application Main Motif App   Promo Linkaja</v>
      </c>
    </row>
    <row r="4390" spans="1:2" x14ac:dyDescent="0.2">
      <c r="A4390" s="1" t="s">
        <v>1530</v>
      </c>
      <c r="B4390" s="1" t="str">
        <f ca="1">IFERROR(__xludf.DUMFUNCTION("GOOGLETRANSLATE(A4528,""id"",""en"")"),"Sorry, , just sell self service, I don't like it, sis, sis keeekkk dick, so pay for, give me a service, sometimes the barcode scan is difficult to make the queue that must use the hp app")</f>
        <v>Sorry, , just sell self service, I don't like it, sis, sis keeekkk dick, so pay for, give me a service, sometimes the barcode scan is difficult to make the queue that must use the hp app</v>
      </c>
    </row>
    <row r="4391" spans="1:2" x14ac:dyDescent="0.2">
      <c r="A4391" s="1" t="s">
        <v>1531</v>
      </c>
      <c r="B4391" s="1" t="str">
        <f ca="1">IFERROR(__xludf.DUMFUNCTION("GOOGLETRANSLATE(A4529,""id"",""en"")"),"Support the  Road project Moga Jalan smooth")</f>
        <v>Support the  Road project Moga Jalan smooth</v>
      </c>
    </row>
    <row r="4392" spans="1:2" x14ac:dyDescent="0.2">
      <c r="A4392" s="1" t="s">
        <v>1532</v>
      </c>
      <c r="B4392" s="1" t="str">
        <f ca="1">IFERROR(__xludf.DUMFUNCTION("GOOGLETRANSLATE(A4530,""id"",""en"")"),"I hope the road will run smoothly, ")</f>
        <v xml:space="preserve">I hope the road will run smoothly, </v>
      </c>
    </row>
    <row r="4393" spans="1:2" x14ac:dyDescent="0.2">
      <c r="A4393" s="1" t="s">
        <v>490</v>
      </c>
      <c r="B4393" s="1" t="str">
        <f ca="1">IFERROR(__xludf.DUMFUNCTION("GOOGLETRANSLATE(A4531,""id"",""en"")"),"Bio Solar user uses a system so that the car is filled with berul")</f>
        <v>Bio Solar user uses a system so that the car is filled with berul</v>
      </c>
    </row>
    <row r="4394" spans="1:2" x14ac:dyDescent="0.2">
      <c r="A4394" s="1" t="s">
        <v>491</v>
      </c>
      <c r="B4394" s="1" t="str">
        <f ca="1">IFERROR(__xludf.DUMFUNCTION("GOOGLETRANSLATE(A4532,""id"",""en"")"),"the community is listing")</f>
        <v>the community is listing</v>
      </c>
    </row>
    <row r="4395" spans="1:2" x14ac:dyDescent="0.2">
      <c r="A4395" s="1" t="s">
        <v>1533</v>
      </c>
      <c r="B4395" s="1" t="str">
        <f ca="1">IFERROR(__xludf.DUMFUNCTION("GOOGLETRANSLATE(A4533,""id"",""en"")")," Shell Gasoline Quality")</f>
        <v xml:space="preserve"> Shell Gasoline Quality</v>
      </c>
    </row>
    <row r="4396" spans="1:2" x14ac:dyDescent="0.2">
      <c r="A4396" s="1" t="s">
        <v>1534</v>
      </c>
      <c r="B4396" s="1" t="str">
        <f ca="1">IFERROR(__xludf.DUMFUNCTION("GOOGLETRANSLATE(A4534,""id"",""en"")")," really works well")</f>
        <v xml:space="preserve"> really works well</v>
      </c>
    </row>
    <row r="4397" spans="1:2" x14ac:dyDescent="0.2">
      <c r="A4397" s="1" t="s">
        <v>1535</v>
      </c>
      <c r="B4397" s="1" t="str">
        <f ca="1">IFERROR(__xludf.DUMFUNCTION("GOOGLETRANSLATE(A4535,""id"",""en"")"),"Private Ranah Bank Mbak Holds Bank AMP Cards Easy Administration Paying Olshop Goods Dateng House Except  Layan Bbm Anter Rumah Kendara Happy Prejudice")</f>
        <v>Private Ranah Bank Mbak Holds Bank AMP Cards Easy Administration Paying Olshop Goods Dateng House Except  Layan Bbm Anter Rumah Kendara Happy Prejudice</v>
      </c>
    </row>
    <row r="4398" spans="1:2" x14ac:dyDescent="0.2">
      <c r="A4398" s="1" t="s">
        <v>5215</v>
      </c>
      <c r="B4398" s="1" t="str">
        <f ca="1">IFERROR(__xludf.DUMFUNCTION("GOOGLETRANSLATE(A4536,""id"",""en"")"),"July therapy provinces buy solar pertalite  application")</f>
        <v>July therapy provinces buy solar pertalite  application</v>
      </c>
    </row>
    <row r="4399" spans="1:2" x14ac:dyDescent="0.2">
      <c r="A4399" s="1" t="s">
        <v>492</v>
      </c>
      <c r="B4399" s="1" t="str">
        <f ca="1">IFERROR(__xludf.DUMFUNCTION("GOOGLETRANSLATE(A4537,""id"",""en"")"),"Easy list")</f>
        <v>Easy list</v>
      </c>
    </row>
    <row r="4400" spans="1:2" x14ac:dyDescent="0.2">
      <c r="A4400" s="1" t="s">
        <v>5216</v>
      </c>
      <c r="B4400" s="1" t="str">
        <f ca="1">IFERROR(__xludf.DUMFUNCTION("GOOGLETRANSLATE(A4538,""id"",""en"")"),"try using   already top up the balance eh the pom is not the erement error if not the car is jembudd")</f>
        <v>try using   already top up the balance eh the pom is not the erement error if not the car is jembudd</v>
      </c>
    </row>
    <row r="4401" spans="1:2" x14ac:dyDescent="0.2">
      <c r="A4401" s="1" t="s">
        <v>493</v>
      </c>
      <c r="B4401" s="1" t="str">
        <f ca="1">IFERROR(__xludf.DUMFUNCTION("GOOGLETRANSLATE(A4539,""id"",""en"")"),"coordination")</f>
        <v>coordination</v>
      </c>
    </row>
    <row r="4402" spans="1:2" x14ac:dyDescent="0.2">
      <c r="A4402" s="1" t="s">
        <v>1536</v>
      </c>
      <c r="B4402" s="1" t="str">
        <f ca="1">IFERROR(__xludf.DUMFUNCTION("GOOGLETRANSLATE(A4540,""id"",""en"")")," Genjot for a very strategic project")</f>
        <v xml:space="preserve"> Genjot for a very strategic project</v>
      </c>
    </row>
    <row r="4403" spans="1:2" x14ac:dyDescent="0.2">
      <c r="A4403" s="1" t="s">
        <v>5217</v>
      </c>
      <c r="B4403" s="1" t="str">
        <f ca="1">IFERROR(__xludf.DUMFUNCTION("GOOGLETRANSLATE(A4541,""id"",""en"")"),"Society List of   Website Applications")</f>
        <v>Society List of   Website Applications</v>
      </c>
    </row>
    <row r="4404" spans="1:2" x14ac:dyDescent="0.2">
      <c r="A4404" s="1" t="s">
        <v>1537</v>
      </c>
      <c r="B4404" s="1" t="str">
        <f ca="1">IFERROR(__xludf.DUMFUNCTION("GOOGLETRANSLATE(A4542,""id"",""en"")"),"Trimah love  because you buy a cellphone")</f>
        <v>Trimah love  because you buy a cellphone</v>
      </c>
    </row>
    <row r="4405" spans="1:2" x14ac:dyDescent="0.2">
      <c r="A4405" s="1" t="s">
        <v>1538</v>
      </c>
      <c r="B4405" s="1" t="str">
        <f ca="1">IFERROR(__xludf.DUMFUNCTION("GOOGLETRANSLATE(A4543,""id"",""en"")"),"Thank you 's information")</f>
        <v>Thank you 's information</v>
      </c>
    </row>
    <row r="4406" spans="1:2" x14ac:dyDescent="0.2">
      <c r="A4406" s="1" t="s">
        <v>5218</v>
      </c>
      <c r="B4406" s="1" t="str">
        <f ca="1">IFERROR(__xludf.DUMFUNCTION("GOOGLETRANSLATE(A4544,""id"",""en"")"),"Cashless intention is not usa using the  EDC machine application with not  the task is sometimes lazy to use it or not")</f>
        <v>Cashless intention is not usa using the  EDC machine application with not  the task is sometimes lazy to use it or not</v>
      </c>
    </row>
    <row r="4407" spans="1:2" x14ac:dyDescent="0.2">
      <c r="A4407" s="1" t="s">
        <v>1539</v>
      </c>
      <c r="B4407" s="1" t="str">
        <f ca="1">IFERROR(__xludf.DUMFUNCTION("GOOGLETRANSLATE(A4545,""id"",""en"")"),"Congratulations  Reach Can")</f>
        <v>Congratulations  Reach Can</v>
      </c>
    </row>
    <row r="4408" spans="1:2" x14ac:dyDescent="0.2">
      <c r="A4408" s="1" t="s">
        <v>5219</v>
      </c>
      <c r="B4408" s="1" t="str">
        <f ca="1">IFERROR(__xludf.DUMFUNCTION("GOOGLETRANSLATE(A4546,""id"",""en"")"),"West Sumatra, South Kalimantan, North Sulawesi, West Java, Yogyakarta, the province of buying a solar  juli")</f>
        <v>West Sumatra, South Kalimantan, North Sulawesi, West Java, Yogyakarta, the province of buying a solar  juli</v>
      </c>
    </row>
    <row r="4409" spans="1:2" x14ac:dyDescent="0.2">
      <c r="A4409" s="1" t="s">
        <v>494</v>
      </c>
      <c r="B4409" s="1" t="str">
        <f ca="1">IFERROR(__xludf.DUMFUNCTION("GOOGLETRANSLATE(A4547,""id"",""en"")"),"List of July Tata")</f>
        <v>List of July Tata</v>
      </c>
    </row>
    <row r="4410" spans="1:2" x14ac:dyDescent="0.2">
      <c r="A4410" s="1" t="s">
        <v>495</v>
      </c>
      <c r="B4410" s="1" t="str">
        <f ca="1">IFERROR(__xludf.DUMFUNCTION("GOOGLETRANSLATE(A4548,""id"",""en"")"),"responsive")</f>
        <v>responsive</v>
      </c>
    </row>
    <row r="4411" spans="1:2" x14ac:dyDescent="0.2">
      <c r="A4411" s="1" t="s">
        <v>1540</v>
      </c>
      <c r="B4411" s="1" t="str">
        <f ca="1">IFERROR(__xludf.DUMFUNCTION("GOOGLETRANSLATE(A4549,""id"",""en"")")," Proof of the Existence of  Efforts World")</f>
        <v xml:space="preserve"> Proof of the Existence of  Efforts World</v>
      </c>
    </row>
    <row r="4412" spans="1:2" x14ac:dyDescent="0.2">
      <c r="A4412" s="1" t="s">
        <v>5220</v>
      </c>
      <c r="B4412" s="1" t="str">
        <f ca="1">IFERROR(__xludf.DUMFUNCTION("GOOGLETRANSLATE(A4551,""id"",""en"")")," Terms of Buying BBM Subsidies Pertalite Solar")</f>
        <v xml:space="preserve"> Terms of Buying BBM Subsidies Pertalite Solar</v>
      </c>
    </row>
    <row r="4413" spans="1:2" x14ac:dyDescent="0.2">
      <c r="A4413" s="1" t="s">
        <v>1541</v>
      </c>
      <c r="B4413" s="1" t="str">
        <f ca="1">IFERROR(__xludf.DUMFUNCTION("GOOGLETRANSLATE(A4552,""id"",""en"")"),"Masarakat Pay Kes Turning Cuan  Loss This is Goblok Derutx Money")</f>
        <v>Masarakat Pay Kes Turning Cuan  Loss This is Goblok Derutx Money</v>
      </c>
    </row>
    <row r="4414" spans="1:2" x14ac:dyDescent="0.2">
      <c r="A4414" s="1" t="s">
        <v>496</v>
      </c>
      <c r="B4414" s="1" t="str">
        <f ca="1">IFERROR(__xludf.DUMFUNCTION("GOOGLETRANSLATE(A4553,""id"",""en"")"),"Good info, the public list of solar pertalite consumers")</f>
        <v>Good info, the public list of solar pertalite consumers</v>
      </c>
    </row>
    <row r="4415" spans="1:2" x14ac:dyDescent="0.2">
      <c r="A4415" s="1" t="s">
        <v>497</v>
      </c>
      <c r="B4415" s="1" t="str">
        <f ca="1">IFERROR(__xludf.DUMFUNCTION("GOOGLETRANSLATE(A4554,""id"",""en"")"),"really really")</f>
        <v>really really</v>
      </c>
    </row>
    <row r="4416" spans="1:2" x14ac:dyDescent="0.2">
      <c r="A4416" s="1" t="s">
        <v>498</v>
      </c>
      <c r="B4416" s="1" t="str">
        <f ca="1">IFERROR(__xludf.DUMFUNCTION("GOOGLETRANSLATE(A4555,""id"",""en"")"),"yes sis")</f>
        <v>yes sis</v>
      </c>
    </row>
    <row r="4417" spans="1:2" x14ac:dyDescent="0.2">
      <c r="A4417" s="1" t="s">
        <v>499</v>
      </c>
      <c r="B4417" s="1" t="str">
        <f ca="1">IFERROR(__xludf.DUMFUNCTION("GOOGLETRANSLATE(A4556,""id"",""en"")"),"find a rich pertalite to find treasure sometimes sometimes it")</f>
        <v>find a rich pertalite to find treasure sometimes sometimes it</v>
      </c>
    </row>
    <row r="4418" spans="1:2" x14ac:dyDescent="0.2">
      <c r="A4418" s="1" t="s">
        <v>500</v>
      </c>
      <c r="B4418" s="1" t="str">
        <f ca="1">IFERROR(__xludf.DUMFUNCTION("GOOGLETRANSLATE(A4557,""id"",""en"")"),"Jangak Bandung in Jakarta Yakan https")</f>
        <v>Jangak Bandung in Jakarta Yakan https</v>
      </c>
    </row>
    <row r="4419" spans="1:2" x14ac:dyDescent="0.2">
      <c r="A4419" s="1" t="s">
        <v>501</v>
      </c>
      <c r="B4419" s="1" t="str">
        <f ca="1">IFERROR(__xludf.DUMFUNCTION("GOOGLETRANSLATE(A4558,""id"",""en"")"),"hobby of fishing rod, yes, the fishing rod")</f>
        <v>hobby of fishing rod, yes, the fishing rod</v>
      </c>
    </row>
    <row r="4420" spans="1:2" x14ac:dyDescent="0.2">
      <c r="A4420" s="1" t="s">
        <v>502</v>
      </c>
      <c r="B4420" s="1" t="str">
        <f ca="1">IFERROR(__xludf.DUMFUNCTION("GOOGLETRANSLATE(A4559,""id"",""en"")"),"Tangerang gin already the month last Wednesday the contents of UD")</f>
        <v>Tangerang gin already the month last Wednesday the contents of UD</v>
      </c>
    </row>
    <row r="4421" spans="1:2" x14ac:dyDescent="0.2">
      <c r="A4421" s="1" t="s">
        <v>1542</v>
      </c>
      <c r="B4421" s="1" t="str">
        <f ca="1">IFERROR(__xludf.DUMFUNCTION("GOOGLETRANSLATE(A4560,""id"",""en"")"),"Discussion of Interatiktifshinta Pros and pros and buying fuel subsidies Pertalite Solar Application  Application Effective Sasar Live Very Economic International Irwan Ibrahim Streaming")</f>
        <v>Discussion of Interatiktifshinta Pros and pros and buying fuel subsidies Pertalite Solar Application  Application Effective Sasar Live Very Economic International Irwan Ibrahim Streaming</v>
      </c>
    </row>
    <row r="4422" spans="1:2" x14ac:dyDescent="0.2">
      <c r="A4422" s="1" t="s">
        <v>503</v>
      </c>
      <c r="B4422" s="1" t="str">
        <f ca="1">IFERROR(__xludf.DUMFUNCTION("GOOGLETRANSLATE(A4561,""id"",""en"")"),"proof of the hose making  motorcycle line for queuing")</f>
        <v>proof of the hose making  motorcycle line for queuing</v>
      </c>
    </row>
    <row r="4423" spans="1:2" x14ac:dyDescent="0.2">
      <c r="A4423" s="1" t="s">
        <v>504</v>
      </c>
      <c r="B4423" s="1" t="str">
        <f ca="1">IFERROR(__xludf.DUMFUNCTION("GOOGLETRANSLATE(A4562,""id"",""en"")"),"teu beurang teu in the afternoon teu peuting hatan nuhun anthriana")</f>
        <v>teu beurang teu in the afternoon teu peuting hatan nuhun anthriana</v>
      </c>
    </row>
    <row r="4424" spans="1:2" x14ac:dyDescent="0.2">
      <c r="A4424" s="1" t="s">
        <v>1543</v>
      </c>
      <c r="B4424" s="1" t="str">
        <f ca="1">IFERROR(__xludf.DUMFUNCTION("GOOGLETRANSLATE(A4563,""id"",""en"")")," gas station coordination Erick Thohir et al Plus ESDM forced wisely the core application of the people in the  gas station with a selfie")</f>
        <v xml:space="preserve"> gas station coordination Erick Thohir et al Plus ESDM forced wisely the core application of the people in the  gas station with a selfie</v>
      </c>
    </row>
    <row r="4425" spans="1:2" x14ac:dyDescent="0.2">
      <c r="A4425" s="1" t="s">
        <v>5221</v>
      </c>
      <c r="B4425" s="1" t="str">
        <f ca="1">IFERROR(__xludf.DUMFUNCTION("GOOGLETRANSLATE(A4564,""id"",""en"")"),"Yes, it's true that the cellphone doesn't get close to the gasoline engine, if I forget the main name of Koo, I told me to install  , it can be exploded")</f>
        <v>Yes, it's true that the cellphone doesn't get close to the gasoline engine, if I forget the main name of Koo, I told me to install  , it can be exploded</v>
      </c>
    </row>
    <row r="4426" spans="1:2" x14ac:dyDescent="0.2">
      <c r="A4426" s="1" t="s">
        <v>1544</v>
      </c>
      <c r="B4426" s="1" t="str">
        <f ca="1">IFERROR(__xludf.DUMFUNCTION("GOOGLETRANSLATE(A4565,""id"",""en"")"),"Hape kentank is really CAS adding to the time to die now because of the flow of it from Kack Basa ")</f>
        <v xml:space="preserve">Hape kentank is really CAS adding to the time to die now because of the flow of it from Kack Basa </v>
      </c>
    </row>
    <row r="4427" spans="1:2" x14ac:dyDescent="0.2">
      <c r="A4427" s="1" t="s">
        <v>1545</v>
      </c>
      <c r="B4427" s="1" t="str">
        <f ca="1">IFERROR(__xludf.DUMFUNCTION("GOOGLETRANSLATE(A4566,""id"",""en"")"),"Oh so I joined the zoom meeting,  Emg kek discussed digitalization, so it was shared service center order to cash so by apps but it was just fraud")</f>
        <v>Oh so I joined the zoom meeting,  Emg kek discussed digitalization, so it was shared service center order to cash so by apps but it was just fraud</v>
      </c>
    </row>
    <row r="4428" spans="1:2" x14ac:dyDescent="0.2">
      <c r="A4428" s="1" t="s">
        <v>505</v>
      </c>
      <c r="B4428" s="1" t="str">
        <f ca="1">IFERROR(__xludf.DUMFUNCTION("GOOGLETRANSLATE(A4567,""id"",""en"")"),"MOGA Following Democratic Party Cadre Friends")</f>
        <v>MOGA Following Democratic Party Cadre Friends</v>
      </c>
    </row>
    <row r="4429" spans="1:2" x14ac:dyDescent="0.2">
      <c r="A4429" s="1" t="s">
        <v>506</v>
      </c>
      <c r="B4429" s="1" t="str">
        <f ca="1">IFERROR(__xludf.DUMFUNCTION("GOOGLETRANSLATE(A4568,""id"",""en"")"),"TOP")</f>
        <v>TOP</v>
      </c>
    </row>
    <row r="4430" spans="1:2" x14ac:dyDescent="0.2">
      <c r="A4430" s="1" t="s">
        <v>1546</v>
      </c>
      <c r="B4430" s="1" t="str">
        <f ca="1">IFERROR(__xludf.DUMFUNCTION("GOOGLETRANSLATE(A4570,""id"",""en"")"),"If the subsidy is according to the target, if  is clearly the data to buy subsidies")</f>
        <v>If the subsidy is according to the target, if  is clearly the data to buy subsidies</v>
      </c>
    </row>
    <row r="4431" spans="1:2" x14ac:dyDescent="0.2">
      <c r="A4431" s="1" t="s">
        <v>1547</v>
      </c>
      <c r="B4431" s="1" t="str">
        <f ca="1">IFERROR(__xludf.DUMFUNCTION("GOOGLETRANSLATE(A4571,""id"",""en"")"),"So the audit team from  is accompanying the audit org, I was scolded because I brought a cellphone, a pocket, dpn clothes, but the condition of the cellphone turn off was dead")</f>
        <v>So the audit team from  is accompanying the audit org, I was scolded because I brought a cellphone, a pocket, dpn clothes, but the condition of the cellphone turn off was dead</v>
      </c>
    </row>
    <row r="4432" spans="1:2" x14ac:dyDescent="0.2">
      <c r="A4432" s="1" t="s">
        <v>507</v>
      </c>
      <c r="B4432" s="1" t="str">
        <f ca="1">IFERROR(__xludf.DUMFUNCTION("GOOGLETRANSLATE(A4572,""id"",""en"")"),"YTH Chairman Folback Account Ni Ni Alhamdulillah")</f>
        <v>YTH Chairman Folback Account Ni Ni Alhamdulillah</v>
      </c>
    </row>
    <row r="4433" spans="1:2" x14ac:dyDescent="0.2">
      <c r="A4433" s="1" t="s">
        <v>5222</v>
      </c>
      <c r="B4433" s="1" t="str">
        <f ca="1">IFERROR(__xludf.DUMFUNCTION("GOOGLETRANSLATE(A4573,""id"",""en"")"),"You've been finished downloading  ")</f>
        <v xml:space="preserve">You've been finished downloading  </v>
      </c>
    </row>
    <row r="4434" spans="1:2" x14ac:dyDescent="0.2">
      <c r="A4434" s="1" t="s">
        <v>5223</v>
      </c>
      <c r="B4434" s="1" t="str">
        <f ca="1">IFERROR(__xludf.DUMFUNCTION("GOOGLETRANSLATE(A4574,""id"",""en"")"),"You download   using a gaspot hotspot")</f>
        <v>You download   using a gaspot hotspot</v>
      </c>
    </row>
    <row r="4435" spans="1:2" x14ac:dyDescent="0.2">
      <c r="A4435" s="1" t="s">
        <v>5224</v>
      </c>
      <c r="B4435" s="1" t="str">
        <f ca="1">IFERROR(__xludf.DUMFUNCTION("GOOGLETRANSLATE(A4575,""id"",""en"")"),"POV Lu Bom Donlot   Pas Fill in Pertalite")</f>
        <v>POV Lu Bom Donlot   Pas Fill in Pertalite</v>
      </c>
    </row>
    <row r="4436" spans="1:2" x14ac:dyDescent="0.2">
      <c r="A4436" s="1" t="s">
        <v>508</v>
      </c>
      <c r="B4436" s="1" t="str">
        <f ca="1">IFERROR(__xludf.DUMFUNCTION("GOOGLETRANSLATE(A4576,""id"",""en"")"),"forbids forbidden from a thousands of Indonesia from buying fuel that models of developed countries category backwards yes")</f>
        <v>forbids forbidden from a thousands of Indonesia from buying fuel that models of developed countries category backwards yes</v>
      </c>
    </row>
    <row r="4437" spans="1:2" x14ac:dyDescent="0.2">
      <c r="A4437" s="1" t="s">
        <v>1548</v>
      </c>
      <c r="B4437" s="1" t="str">
        <f ca="1">IFERROR(__xludf.DUMFUNCTION("GOOGLETRANSLATE(A4577,""id"",""en"")"),"Friday July  Patra Niaga Testing Trial Buying Pertalite Fuel Fuel")</f>
        <v>Friday July  Patra Niaga Testing Trial Buying Pertalite Fuel Fuel</v>
      </c>
    </row>
    <row r="4438" spans="1:2" x14ac:dyDescent="0.2">
      <c r="A4438" s="1" t="s">
        <v>1549</v>
      </c>
      <c r="B4438" s="1" t="str">
        <f ca="1">IFERROR(__xludf.DUMFUNCTION("GOOGLETRANSLATE(A4578,""id"",""en"")"),"Life Ahok Ahok just brakes  fortunately love literate")</f>
        <v>Life Ahok Ahok just brakes  fortunately love literate</v>
      </c>
    </row>
    <row r="4439" spans="1:2" x14ac:dyDescent="0.2">
      <c r="A4439" s="1" t="s">
        <v>1550</v>
      </c>
      <c r="B4439" s="1" t="str">
        <f ca="1">IFERROR(__xludf.DUMFUNCTION("GOOGLETRANSLATE(A4579,""id"",""en"")"),"Android phone forbids  gas station Tang Erick Thohir Silah with selfie")</f>
        <v>Android phone forbids  gas station Tang Erick Thohir Silah with selfie</v>
      </c>
    </row>
    <row r="4440" spans="1:2" x14ac:dyDescent="0.2">
      <c r="A4440" s="1" t="s">
        <v>1551</v>
      </c>
      <c r="B4440" s="1" t="str">
        <f ca="1">IFERROR(__xludf.DUMFUNCTION("GOOGLETRANSLATE(A4580,""id"",""en"")"),"Wih ")</f>
        <v xml:space="preserve">Wih </v>
      </c>
    </row>
    <row r="4441" spans="1:2" x14ac:dyDescent="0.2">
      <c r="A4441" s="1" t="s">
        <v>509</v>
      </c>
      <c r="B4441" s="1" t="str">
        <f ca="1">IFERROR(__xludf.DUMFUNCTION("GOOGLETRANSLATE(A4581,""id"",""en"")"),"monitor")</f>
        <v>monitor</v>
      </c>
    </row>
    <row r="4442" spans="1:2" x14ac:dyDescent="0.2">
      <c r="A4442" s="1" t="s">
        <v>1552</v>
      </c>
      <c r="B4442" s="1" t="str">
        <f ca="1">IFERROR(__xludf.DUMFUNCTION("GOOGLETRANSLATE(A4582,""id"",""en"")"),"Ma'am, the Commissioner of , try Bismillah so that the Commissioner of ")</f>
        <v xml:space="preserve">Ma'am, the Commissioner of , try Bismillah so that the Commissioner of </v>
      </c>
    </row>
    <row r="4443" spans="1:2" x14ac:dyDescent="0.2">
      <c r="A4443" s="1" t="s">
        <v>1553</v>
      </c>
      <c r="B4443" s="1" t="str">
        <f ca="1">IFERROR(__xludf.DUMFUNCTION("GOOGLETRANSLATE(A4583,""id"",""en"")"),"No 's CW orders")</f>
        <v>No 's CW orders</v>
      </c>
    </row>
    <row r="4444" spans="1:2" x14ac:dyDescent="0.2">
      <c r="A4444" s="1" t="s">
        <v>509</v>
      </c>
      <c r="B4444" s="1" t="str">
        <f ca="1">IFERROR(__xludf.DUMFUNCTION("GOOGLETRANSLATE(A4584,""id"",""en"")"),"monitor")</f>
        <v>monitor</v>
      </c>
    </row>
    <row r="4445" spans="1:2" x14ac:dyDescent="0.2">
      <c r="A4445" s="1" t="s">
        <v>1554</v>
      </c>
      <c r="B4445" s="1" t="str">
        <f ca="1">IFERROR(__xludf.DUMFUNCTION("GOOGLETRANSLATE(A4585,""id"",""en"")"),"Here is 's intrigue intrigue")</f>
        <v>Here is 's intrigue intrigue</v>
      </c>
    </row>
    <row r="4446" spans="1:2" x14ac:dyDescent="0.2">
      <c r="A4446" s="1" t="s">
        <v>1550</v>
      </c>
      <c r="B4446" s="1" t="str">
        <f ca="1">IFERROR(__xludf.DUMFUNCTION("GOOGLETRANSLATE(A4586,""id"",""en"")"),"Android phone forbids  gas station Tang Erick Thohir Silah with selfie")</f>
        <v>Android phone forbids  gas station Tang Erick Thohir Silah with selfie</v>
      </c>
    </row>
    <row r="4447" spans="1:2" x14ac:dyDescent="0.2">
      <c r="A4447" s="1" t="s">
        <v>510</v>
      </c>
      <c r="B4447" s="1" t="str">
        <f ca="1">IFERROR(__xludf.DUMFUNCTION("GOOGLETRANSLATE(A4587,""id"",""en"")"),"After the voices of the chaotic voice")</f>
        <v>After the voices of the chaotic voice</v>
      </c>
    </row>
    <row r="4448" spans="1:2" x14ac:dyDescent="0.2">
      <c r="A4448" s="1" t="s">
        <v>511</v>
      </c>
      <c r="B4448" s="1" t="str">
        <f ca="1">IFERROR(__xludf.DUMFUNCTION("GOOGLETRANSLATE(A4588,""id"",""en"")"),"download not using ambyarr dehh")</f>
        <v>download not using ambyarr dehh</v>
      </c>
    </row>
    <row r="4449" spans="1:2" x14ac:dyDescent="0.2">
      <c r="A4449" s="1" t="s">
        <v>512</v>
      </c>
      <c r="B4449" s="1" t="str">
        <f ca="1">IFERROR(__xludf.DUMFUNCTION("GOOGLETRANSLATE(A4589,""id"",""en"")"),"anyway the chaotic criticians of the gas station block open the subsidized phone to buy BBM using the application")</f>
        <v>anyway the chaotic criticians of the gas station block open the subsidized phone to buy BBM using the application</v>
      </c>
    </row>
    <row r="4450" spans="1:2" x14ac:dyDescent="0.2">
      <c r="A4450" s="1" t="s">
        <v>1555</v>
      </c>
      <c r="B4450" s="1" t="str">
        <f ca="1">IFERROR(__xludf.DUMFUNCTION("GOOGLETRANSLATE(A4590,""id"",""en"")"),"I see it right, , but I saw twt, I had clearly read a friend who worked for , it was made by digital.")</f>
        <v>I see it right, , but I saw twt, I had clearly read a friend who worked for , it was made by digital.</v>
      </c>
    </row>
    <row r="4451" spans="1:2" x14ac:dyDescent="0.2">
      <c r="A4451" s="1" t="s">
        <v>513</v>
      </c>
      <c r="B4451" s="1" t="str">
        <f ca="1">IFERROR(__xludf.DUMFUNCTION("GOOGLETRANSLATE(A4591,""id"",""en"")"),"Playing Hp SPBU SGT Dangers Bang I ex ex wrong Pontianak gas station gas stations I work on an investigation because it is not but with a circulation info because of radiation from the cellphone")</f>
        <v>Playing Hp SPBU SGT Dangers Bang I ex ex wrong Pontianak gas station gas stations I work on an investigation because it is not but with a circulation info because of radiation from the cellphone</v>
      </c>
    </row>
    <row r="4452" spans="1:2" x14ac:dyDescent="0.2">
      <c r="A4452" s="1" t="s">
        <v>5225</v>
      </c>
      <c r="B4452" s="1" t="str">
        <f ca="1">IFERROR(__xludf.DUMFUNCTION("GOOGLETRANSLATE(A4592,""id"",""en"")"),"Pertamin Strategy to Prevent Leaks of BBM Subsidies  Complete pertami Website Registration")</f>
        <v>Pertamin Strategy to Prevent Leaks of BBM Subsidies  Complete pertami Website Registration</v>
      </c>
    </row>
    <row r="4453" spans="1:2" x14ac:dyDescent="0.2">
      <c r="A4453" s="1" t="s">
        <v>5226</v>
      </c>
      <c r="B4453" s="1" t="str">
        <f ca="1">IFERROR(__xludf.DUMFUNCTION("GOOGLETRANSLATE(A4593,""id"",""en"")"),"just nangisin   wes")</f>
        <v>just nangisin   wes</v>
      </c>
    </row>
    <row r="4454" spans="1:2" x14ac:dyDescent="0.2">
      <c r="A4454" s="1" t="s">
        <v>5227</v>
      </c>
      <c r="B4454" s="1" t="str">
        <f ca="1">IFERROR(__xludf.DUMFUNCTION("GOOGLETRANSLATE(A4594,""id"",""en"")"),"Seriously, the task of the gas station is not playing the cellphone, the contents of the fuel, say that it makes the gas station explosion must use  prohibit yesterday, the public is not stupid to play the gas station cellphone")</f>
        <v>Seriously, the task of the gas station is not playing the cellphone, the contents of the fuel, say that it makes the gas station explosion must use  prohibit yesterday, the public is not stupid to play the gas station cellphone</v>
      </c>
    </row>
    <row r="4455" spans="1:2" x14ac:dyDescent="0.2">
      <c r="A4455" s="1" t="s">
        <v>1556</v>
      </c>
      <c r="B4455" s="1" t="str">
        <f ca="1">IFERROR(__xludf.DUMFUNCTION("GOOGLETRANSLATE(A4595,""id"",""en"")"),"You're really the character of the Browsing Nation is busy  fortunately Nasdem supports Anis Baswedan who is ")</f>
        <v xml:space="preserve">You're really the character of the Browsing Nation is busy  fortunately Nasdem supports Anis Baswedan who is </v>
      </c>
    </row>
    <row r="4456" spans="1:2" x14ac:dyDescent="0.2">
      <c r="A4456" s="1" t="s">
        <v>5228</v>
      </c>
      <c r="B4456" s="1" t="str">
        <f ca="1">IFERROR(__xludf.DUMFUNCTION("GOOGLETRANSLATE(A4596,""id"",""en"")"),"what is   data you pay for non -cash free cash too")</f>
        <v>what is   data you pay for non -cash free cash too</v>
      </c>
    </row>
    <row r="4457" spans="1:2" x14ac:dyDescent="0.2">
      <c r="A4457" s="1" t="s">
        <v>5229</v>
      </c>
      <c r="B4457" s="1" t="str">
        <f ca="1">IFERROR(__xludf.DUMFUNCTION("GOOGLETRANSLATE(A4597,""id"",""en"")"),"which makes   applications rich stupid")</f>
        <v>which makes   applications rich stupid</v>
      </c>
    </row>
    <row r="4458" spans="1:2" x14ac:dyDescent="0.2">
      <c r="A4458" s="1" t="s">
        <v>514</v>
      </c>
      <c r="B4458" s="1" t="str">
        <f ca="1">IFERROR(__xludf.DUMFUNCTION("GOOGLETRANSLATE(A4598,""id"",""en"")"),"Yes weird")</f>
        <v>Yes weird</v>
      </c>
    </row>
    <row r="4459" spans="1:2" x14ac:dyDescent="0.2">
      <c r="A4459" s="1" t="s">
        <v>515</v>
      </c>
      <c r="B4459" s="1" t="str">
        <f ca="1">IFERROR(__xludf.DUMFUNCTION("GOOGLETRANSLATE(A4599,""id"",""en"")"),"complicated")</f>
        <v>complicated</v>
      </c>
    </row>
    <row r="4460" spans="1:2" x14ac:dyDescent="0.2">
      <c r="A4460" s="1" t="s">
        <v>516</v>
      </c>
      <c r="B4460" s="1" t="str">
        <f ca="1">IFERROR(__xludf.DUMFUNCTION("GOOGLETRANSLATE(A4600,""id"",""en"")"),"I hope Aamiin's strange wise voice")</f>
        <v>I hope Aamiin's strange wise voice</v>
      </c>
    </row>
    <row r="4461" spans="1:2" x14ac:dyDescent="0.2">
      <c r="A4461" s="1" t="s">
        <v>5230</v>
      </c>
      <c r="B4461" s="1" t="str">
        <f ca="1">IFERROR(__xludf.DUMFUNCTION("GOOGLETRANSLATE(A4601,""id"",""en"")"),"what is   your data pays free cash non -cash, I haven't tried the shadow")</f>
        <v>what is   your data pays free cash non -cash, I haven't tried the shadow</v>
      </c>
    </row>
    <row r="4462" spans="1:2" x14ac:dyDescent="0.2">
      <c r="A4462" s="1" t="s">
        <v>517</v>
      </c>
      <c r="B4462" s="1" t="str">
        <f ca="1">IFERROR(__xludf.DUMFUNCTION("GOOGLETRANSLATE(A4602,""id"",""en"")"),"make it difficult")</f>
        <v>make it difficult</v>
      </c>
    </row>
    <row r="4463" spans="1:2" x14ac:dyDescent="0.2">
      <c r="A4463" s="1" t="s">
        <v>1557</v>
      </c>
      <c r="B4463" s="1" t="str">
        <f ca="1">IFERROR(__xludf.DUMFUNCTION("GOOGLETRANSLATE(A4603,""id"",""en"")"),"I don't understand, I also said that  said he said that I was cool to use it")</f>
        <v>I don't understand, I also said that  said he said that I was cool to use it</v>
      </c>
    </row>
    <row r="4464" spans="1:2" x14ac:dyDescent="0.2">
      <c r="A4464" s="1" t="s">
        <v>5231</v>
      </c>
      <c r="B4464" s="1" t="str">
        <f ca="1">IFERROR(__xludf.DUMFUNCTION("GOOGLETRANSLATE(A4604,""id"",""en"")"),"wkwkw the shadow ntar if the base is already big until it is a social media update the status ah   application")</f>
        <v>wkwkw the shadow ntar if the base is already big until it is a social media update the status ah   application</v>
      </c>
    </row>
    <row r="4465" spans="1:2" x14ac:dyDescent="0.2">
      <c r="A4465" s="1" t="s">
        <v>5232</v>
      </c>
      <c r="B4465" s="1" t="str">
        <f ca="1">IFERROR(__xludf.DUMFUNCTION("GOOGLETRANSLATE(A4605,""id"",""en"")"),"Pertamin Strategy to Prevent Leaks of BBM Subsidies  Rampung Completion of the  website registration list of  vehicle subsidized fuel consumption")</f>
        <v>Pertamin Strategy to Prevent Leaks of BBM Subsidies  Rampung Completion of the  website registration list of  vehicle subsidized fuel consumption</v>
      </c>
    </row>
    <row r="4466" spans="1:2" x14ac:dyDescent="0.2">
      <c r="A4466" s="1" t="s">
        <v>518</v>
      </c>
      <c r="B4466" s="1" t="str">
        <f ca="1">IFERROR(__xludf.DUMFUNCTION("GOOGLETRANSLATE(A4606,""id"",""en"")"),"check the gas station")</f>
        <v>check the gas station</v>
      </c>
    </row>
    <row r="4467" spans="1:2" x14ac:dyDescent="0.2">
      <c r="A4467" s="1" t="s">
        <v>5233</v>
      </c>
      <c r="B4467" s="1" t="str">
        <f ca="1">IFERROR(__xludf.DUMFUNCTION("GOOGLETRANSLATE(A4607,""id"",""en"")"),"weight buying pertalite using   really actually pertalite subsidies with the country")</f>
        <v>weight buying pertalite using   really actually pertalite subsidies with the country</v>
      </c>
    </row>
    <row r="4468" spans="1:2" x14ac:dyDescent="0.2">
      <c r="A4468" s="1" t="s">
        <v>5234</v>
      </c>
      <c r="B4468" s="1" t="str">
        <f ca="1">IFERROR(__xludf.DUMFUNCTION("GOOGLETRANSLATE(A4608,""id"",""en"")"),"Sorry for the poor person, I bought a cellphone list   to buy a package")</f>
        <v>Sorry for the poor person, I bought a cellphone list   to buy a package</v>
      </c>
    </row>
    <row r="4469" spans="1:2" x14ac:dyDescent="0.2">
      <c r="A4469" s="1" t="s">
        <v>5230</v>
      </c>
      <c r="B4469" s="1" t="str">
        <f ca="1">IFERROR(__xludf.DUMFUNCTION("GOOGLETRANSLATE(A4609,""id"",""en"")"),"what is   your data pays free cash non -cash, I haven't tried the shadow")</f>
        <v>what is   your data pays free cash non -cash, I haven't tried the shadow</v>
      </c>
    </row>
    <row r="4470" spans="1:2" x14ac:dyDescent="0.2">
      <c r="A4470" s="1" t="s">
        <v>5235</v>
      </c>
      <c r="B4470" s="1" t="str">
        <f ca="1">IFERROR(__xludf.DUMFUNCTION("GOOGLETRANSLATE(A4610,""id"",""en"")"),"Yup sophisticated sophisticated technology can be the dangers of the dangers of reasonable use of cash change, what are you using  applications. Many cell phone applications can also")</f>
        <v>Yup sophisticated sophisticated technology can be the dangers of the dangers of reasonable use of cash change, what are you using  applications. Many cell phone applications can also</v>
      </c>
    </row>
    <row r="4471" spans="1:2" x14ac:dyDescent="0.2">
      <c r="A4471" s="1" t="s">
        <v>5236</v>
      </c>
      <c r="B4471" s="1" t="str">
        <f ca="1">IFERROR(__xludf.DUMFUNCTION("GOOGLETRANSLATE(A4611,""id"",""en"")")," trials Selling Pertalite Solar Gasoline Digital  Application Juli Wise Value Difficult Community  ")</f>
        <v xml:space="preserve"> trials Selling Pertalite Solar Gasoline Digital  Application Juli Wise Value Difficult Community  </v>
      </c>
    </row>
    <row r="4472" spans="1:2" x14ac:dyDescent="0.2">
      <c r="A4472" s="1" t="s">
        <v>5237</v>
      </c>
      <c r="B4472" s="1" t="str">
        <f ca="1">IFERROR(__xludf.DUMFUNCTION("GOOGLETRANSLATE(A4612,""id"",""en"")"),"Weight Buy Pertalite Using   Very Actually Pertalite Subsidies and countries are not complicated to help the country yes buy Pertamax at least help the country subsidies if you buy Pertamax")</f>
        <v>Weight Buy Pertalite Using   Very Actually Pertalite Subsidies and countries are not complicated to help the country yes buy Pertamax at least help the country subsidies if you buy Pertamax</v>
      </c>
    </row>
    <row r="4473" spans="1:2" x14ac:dyDescent="0.2">
      <c r="A4473" s="1" t="s">
        <v>1558</v>
      </c>
      <c r="B4473" s="1" t="str">
        <f ca="1">IFERROR(__xludf.DUMFUNCTION("GOOGLETRANSLATE(A4613,""id"",""en"")")," girl")</f>
        <v xml:space="preserve"> girl</v>
      </c>
    </row>
    <row r="4474" spans="1:2" x14ac:dyDescent="0.2">
      <c r="A4474" s="1" t="s">
        <v>5238</v>
      </c>
      <c r="B4474" s="1" t="str">
        <f ca="1">IFERROR(__xludf.DUMFUNCTION("GOOGLETRANSLATE(A4614,""id"",""en"")"),"Sara   Check the Promo of Watt Refill Glue Glue Gun Bakarns Package Price RP RP can shopee")</f>
        <v>Sara   Check the Promo of Watt Refill Glue Glue Gun Bakarns Package Price RP RP can shopee</v>
      </c>
    </row>
    <row r="4475" spans="1:2" x14ac:dyDescent="0.2">
      <c r="A4475" s="1" t="s">
        <v>519</v>
      </c>
      <c r="B4475" s="1" t="str">
        <f ca="1">IFERROR(__xludf.DUMFUNCTION("GOOGLETRANSLATE(A4615,""id"",""en"")"),"Think a little")</f>
        <v>Think a little</v>
      </c>
    </row>
    <row r="4476" spans="1:2" x14ac:dyDescent="0.2">
      <c r="A4476" s="1" t="s">
        <v>5239</v>
      </c>
      <c r="B4476" s="1" t="str">
        <f ca="1">IFERROR(__xludf.DUMFUNCTION("GOOGLETRANSLATE(A4616,""id"",""en"")"),"Already using  to target gifts to buy BBM Receipt I Scan   Awas aware Turning  Take a Promo Cashback Money Using the Hhh Application")</f>
        <v>Already using  to target gifts to buy BBM Receipt I Scan   Awas aware Turning  Take a Promo Cashback Money Using the Hhh Application</v>
      </c>
    </row>
    <row r="4477" spans="1:2" x14ac:dyDescent="0.2">
      <c r="A4477" s="1" t="s">
        <v>1559</v>
      </c>
      <c r="B4477" s="1" t="str">
        <f ca="1">IFERROR(__xludf.DUMFUNCTION("GOOGLETRANSLATE(A4617,""id"",""en"")")," PT  Patra Niaga Data Kendara Wheel Receive fuel oil")</f>
        <v xml:space="preserve"> PT  Patra Niaga Data Kendara Wheel Receive fuel oil</v>
      </c>
    </row>
    <row r="4478" spans="1:2" x14ac:dyDescent="0.2">
      <c r="A4478" s="1" t="s">
        <v>1387</v>
      </c>
      <c r="B4478" s="1" t="str">
        <f ca="1">IFERROR(__xludf.DUMFUNCTION("GOOGLETRANSLATE(A4618,""id"",""en"")"),"steady levels of  saradis subsidies trials service services for solar to list it is very compulsory to support")</f>
        <v>steady levels of  saradis subsidies trials service services for solar to list it is very compulsory to support</v>
      </c>
    </row>
    <row r="4479" spans="1:2" x14ac:dyDescent="0.2">
      <c r="A4479" s="1" t="s">
        <v>520</v>
      </c>
      <c r="B4479" s="1" t="str">
        <f ca="1">IFERROR(__xludf.DUMFUNCTION("GOOGLETRANSLATE(A4619,""id"",""en"")"),"Nahhh")</f>
        <v>Nahhh</v>
      </c>
    </row>
    <row r="4480" spans="1:2" x14ac:dyDescent="0.2">
      <c r="A4480" s="1" t="s">
        <v>5240</v>
      </c>
      <c r="B4480" s="1" t="str">
        <f ca="1">IFERROR(__xludf.DUMFUNCTION("GOOGLETRANSLATE(A4620,""id"",""en"")"),"just connect the link   error")</f>
        <v>just connect the link   error</v>
      </c>
    </row>
    <row r="4481" spans="1:2" x14ac:dyDescent="0.2">
      <c r="A4481" s="1" t="s">
        <v>521</v>
      </c>
      <c r="B4481" s="1" t="str">
        <f ca="1">IFERROR(__xludf.DUMFUNCTION("GOOGLETRANSLATE(A4621,""id"",""en"")"),"It's a lie to play the Monitor Council Gas Station Hp")</f>
        <v>It's a lie to play the Monitor Council Gas Station Hp</v>
      </c>
    </row>
    <row r="4482" spans="1:2" x14ac:dyDescent="0.2">
      <c r="A4482" s="1" t="s">
        <v>1560</v>
      </c>
      <c r="B4482" s="1" t="str">
        <f ca="1">IFERROR(__xludf.DUMFUNCTION("GOOGLETRANSLATE(A4622,""id"",""en"")"),"strange ih wrong planet Kali ")</f>
        <v xml:space="preserve">strange ih wrong planet Kali </v>
      </c>
    </row>
    <row r="4483" spans="1:2" x14ac:dyDescent="0.2">
      <c r="A4483" s="1" t="s">
        <v>1561</v>
      </c>
      <c r="B4483" s="1" t="str">
        <f ca="1">IFERROR(__xludf.DUMFUNCTION("GOOGLETRANSLATE(A4623,""id"",""en"")"),"PT  Persero's Internal Audit Part Here we go")</f>
        <v>PT  Persero's Internal Audit Part Here we go</v>
      </c>
    </row>
    <row r="4484" spans="1:2" x14ac:dyDescent="0.2">
      <c r="A4484" s="1" t="s">
        <v>522</v>
      </c>
      <c r="B4484" s="1" t="str">
        <f ca="1">IFERROR(__xludf.DUMFUNCTION("GOOGLETRANSLATE(A4624,""id"",""en"")"),"Get SMS like Gin Mode of Deception")</f>
        <v>Get SMS like Gin Mode of Deception</v>
      </c>
    </row>
    <row r="4485" spans="1:2" x14ac:dyDescent="0.2">
      <c r="A4485" s="1" t="s">
        <v>1562</v>
      </c>
      <c r="B4485" s="1" t="str">
        <f ca="1">IFERROR(__xludf.DUMFUNCTION("GOOGLETRANSLATE(A4625,""id"",""en"")"),"KTnya KL  Gabole Play Hp Hmm")</f>
        <v>KTnya KL  Gabole Play Hp Hmm</v>
      </c>
    </row>
    <row r="4486" spans="1:2" x14ac:dyDescent="0.2">
      <c r="A4486" s="1" t="s">
        <v>5241</v>
      </c>
      <c r="B4486" s="1" t="str">
        <f ca="1">IFERROR(__xludf.DUMFUNCTION("GOOGLETRANSLATE(A4626,""id"",""en"")"),"Use Pertamax People Ngide Ngide Make Setting Filling Pertalite Mandatory  Original   Application You are really koplak, it's already complicated hard to find money.")</f>
        <v>Use Pertamax People Ngide Ngide Make Setting Filling Pertalite Mandatory  Original   Application You are really koplak, it's already complicated hard to find money.</v>
      </c>
    </row>
    <row r="4487" spans="1:2" x14ac:dyDescent="0.2">
      <c r="A4487" s="1" t="s">
        <v>1563</v>
      </c>
      <c r="B4487" s="1" t="str">
        <f ca="1">IFERROR(__xludf.DUMFUNCTION("GOOGLETRANSLATE(A4627,""id"",""en"")"),"ne, I hope  already thinks that the smart contents pump is just the task of filling in the number of motor vehicle database integration plates is not worth overlimit automatically fuel not pump")</f>
        <v>ne, I hope  already thinks that the smart contents pump is just the task of filling in the number of motor vehicle database integration plates is not worth overlimit automatically fuel not pump</v>
      </c>
    </row>
    <row r="4488" spans="1:2" x14ac:dyDescent="0.2">
      <c r="A4488" s="1" t="s">
        <v>5242</v>
      </c>
      <c r="B4488" s="1" t="str">
        <f ca="1">IFERROR(__xludf.DUMFUNCTION("GOOGLETRANSLATE(A4628,""id"",""en"")")," cellphone memory is full, yes, buy a cellphone, download   to buy fuel")</f>
        <v xml:space="preserve"> cellphone memory is full, yes, buy a cellphone, download   to buy fuel</v>
      </c>
    </row>
    <row r="4489" spans="1:2" x14ac:dyDescent="0.2">
      <c r="A4489" s="1" t="s">
        <v>1564</v>
      </c>
      <c r="B4489" s="1" t="str">
        <f ca="1">IFERROR(__xludf.DUMFUNCTION("GOOGLETRANSLATE(A4629,""id"",""en"")"),"Motornye Million Keataas Vario Pego Nmax Peceeex Please know a little bit,  Pertalat uses a user, I don't know.")</f>
        <v>Motornye Million Keataas Vario Pego Nmax Peceeex Please know a little bit,  Pertalat uses a user, I don't know.</v>
      </c>
    </row>
    <row r="4490" spans="1:2" x14ac:dyDescent="0.2">
      <c r="A4490" s="1" t="s">
        <v>5243</v>
      </c>
      <c r="B4490" s="1" t="str">
        <f ca="1">IFERROR(__xludf.DUMFUNCTION("GOOGLETRANSLATE(A4630,""id"",""en"")")," Sorry, Mom, buy pertalite, you must use the   application to sell the retail, bro, just buy it here, so it's complicated")</f>
        <v xml:space="preserve"> Sorry, Mom, buy pertalite, you must use the   application to sell the retail, bro, just buy it here, so it's complicated</v>
      </c>
    </row>
    <row r="4491" spans="1:2" x14ac:dyDescent="0.2">
      <c r="A4491" s="1" t="s">
        <v>2820</v>
      </c>
      <c r="B4491" s="1" t="str">
        <f ca="1">IFERROR(__xludf.DUMFUNCTION("GOOGLETRANSLATE(A4631,""id"",""en"")"),"July  Open a List of Buying Pertalite ")</f>
        <v xml:space="preserve">July  Open a List of Buying Pertalite </v>
      </c>
    </row>
    <row r="4492" spans="1:2" x14ac:dyDescent="0.2">
      <c r="A4492" s="1" t="s">
        <v>989</v>
      </c>
      <c r="B4492" s="1" t="str">
        <f ca="1">IFERROR(__xludf.DUMFUNCTION("GOOGLETRANSLATE(A4633,""id"",""en"")"),"July  Test Trial Buy Pertalite Solar to Register")</f>
        <v>July  Test Trial Buy Pertalite Solar to Register</v>
      </c>
    </row>
    <row r="4493" spans="1:2" x14ac:dyDescent="0.2">
      <c r="A4493" s="1" t="s">
        <v>1565</v>
      </c>
      <c r="B4493" s="1" t="str">
        <f ca="1">IFERROR(__xludf.DUMFUNCTION("GOOGLETRANSLATE(A4634,""id"",""en"")"),"Yak  made its POM app for")</f>
        <v>Yak  made its POM app for</v>
      </c>
    </row>
    <row r="4494" spans="1:2" x14ac:dyDescent="0.2">
      <c r="A4494" s="1" t="s">
        <v>1566</v>
      </c>
      <c r="B4494" s="1" t="str">
        <f ca="1">IFERROR(__xludf.DUMFUNCTION("GOOGLETRANSLATE(A4635,""id"",""en"")"),"PT  Patra Niaga Subholding Commercial AMP Trading PT  Persero Regional Jawa West Java Test Trial Buy Fuel Fuel Subsidized West Java Application Subsidies")</f>
        <v>PT  Patra Niaga Subholding Commercial AMP Trading PT  Persero Regional Jawa West Java Test Trial Buy Fuel Fuel Subsidized West Java Application Subsidies</v>
      </c>
    </row>
    <row r="4495" spans="1:2" x14ac:dyDescent="0.2">
      <c r="A4495" s="1" t="s">
        <v>5244</v>
      </c>
      <c r="B4495" s="1" t="str">
        <f ca="1">IFERROR(__xludf.DUMFUNCTION("GOOGLETRANSLATE(A4636,""id"",""en"")"),"the gas station wrote it to play cellphone, then using  , how about it if I moved as a motorbike, I was complicated")</f>
        <v>the gas station wrote it to play cellphone, then using  , how about it if I moved as a motorbike, I was complicated</v>
      </c>
    </row>
    <row r="4496" spans="1:2" x14ac:dyDescent="0.2">
      <c r="A4496" s="1" t="s">
        <v>5245</v>
      </c>
      <c r="B4496" s="1" t="str">
        <f ca="1">IFERROR(__xludf.DUMFUNCTION("GOOGLETRANSLATE(A4637,""id"",""en"")"),"but the gas gas station doesn't play the cellphone, I don't scan  qr   na")</f>
        <v>but the gas gas station doesn't play the cellphone, I don't scan  qr   na</v>
      </c>
    </row>
    <row r="4497" spans="1:2" x14ac:dyDescent="0.2">
      <c r="A4497" s="1" t="s">
        <v>1567</v>
      </c>
      <c r="B4497" s="1" t="str">
        <f ca="1">IFERROR(__xludf.DUMFUNCTION("GOOGLETRANSLATE(A4638,""id"",""en"")")," Asuuu's dick toll")</f>
        <v xml:space="preserve"> Asuuu's dick toll</v>
      </c>
    </row>
    <row r="4498" spans="1:2" x14ac:dyDescent="0.2">
      <c r="A4498" s="1" t="s">
        <v>1568</v>
      </c>
      <c r="B4498" s="1" t="str">
        <f ca="1">IFERROR(__xludf.DUMFUNCTION("GOOGLETRANSLATE(A4639,""id"",""en"")"),"Collecting State Taxes make the company's company name Telkomsel that makes the internet in  that is gasoline there makes the motorbike live PDAM Make a Bathing Taste of Enjoyment Pay in the business")</f>
        <v>Collecting State Taxes make the company's company name Telkomsel that makes the internet in  that is gasoline there makes the motorbike live PDAM Make a Bathing Taste of Enjoyment Pay in the business</v>
      </c>
    </row>
    <row r="4499" spans="1:2" x14ac:dyDescent="0.2">
      <c r="A4499" s="1" t="s">
        <v>1569</v>
      </c>
      <c r="B4499" s="1" t="str">
        <f ca="1">IFERROR(__xludf.DUMFUNCTION("GOOGLETRANSLATE(A4640,""id"",""en"")"),"Don't Legalin  Mak")</f>
        <v>Don't Legalin  Mak</v>
      </c>
    </row>
    <row r="4500" spans="1:2" x14ac:dyDescent="0.2">
      <c r="A4500" s="1" t="s">
        <v>523</v>
      </c>
      <c r="B4500" s="1" t="str">
        <f ca="1">IFERROR(__xludf.DUMFUNCTION("GOOGLETRANSLATE(A4641,""id"",""en"")"),"Yes, Reng Euyy, MH, I can fill in gasoline, Bari Udud, about using HP ge Bae")</f>
        <v>Yes, Reng Euyy, MH, I can fill in gasoline, Bari Udud, about using HP ge Bae</v>
      </c>
    </row>
    <row r="4501" spans="1:2" x14ac:dyDescent="0.2">
      <c r="A4501" s="1" t="s">
        <v>524</v>
      </c>
      <c r="B4501" s="1" t="str">
        <f ca="1">IFERROR(__xludf.DUMFUNCTION("GOOGLETRANSLATE(A4642,""id"",""en"")"),"WOII")</f>
        <v>WOII</v>
      </c>
    </row>
    <row r="4502" spans="1:2" x14ac:dyDescent="0.2">
      <c r="A4502" s="1" t="s">
        <v>1570</v>
      </c>
      <c r="B4502" s="1" t="str">
        <f ca="1">IFERROR(__xludf.DUMFUNCTION("GOOGLETRANSLATE(A4643,""id"",""en"")"),"So Gin because of the one who bought Pertamax buying pertalite who subsidized Sarpar who bought Pertamax buying pertalite in the number that cm buying pertalite buying in a little bit of  Tekor Consumer Pertalite after the quota of BBM")</f>
        <v>So Gin because of the one who bought Pertamax buying pertalite who subsidized Sarpar who bought Pertamax buying pertalite in the number that cm buying pertalite buying in a little bit of  Tekor Consumer Pertalite after the quota of BBM</v>
      </c>
    </row>
    <row r="4503" spans="1:2" x14ac:dyDescent="0.2">
      <c r="A4503" s="1" t="s">
        <v>5246</v>
      </c>
      <c r="B4503" s="1" t="str">
        <f ca="1">IFERROR(__xludf.DUMFUNCTION("GOOGLETRANSLATE(A4644,""id"",""en"")"),"If you meet with , discuss ")</f>
        <v xml:space="preserve">If you meet with , discuss </v>
      </c>
    </row>
    <row r="4504" spans="1:2" x14ac:dyDescent="0.2">
      <c r="A4504" s="1" t="s">
        <v>5247</v>
      </c>
      <c r="B4504" s="1" t="str">
        <f ca="1">IFERROR(__xludf.DUMFUNCTION("GOOGLETRANSLATE(A4645,""id"",""en"")"),"Download   Kah Sobad Pertalite")</f>
        <v>Download   Kah Sobad Pertalite</v>
      </c>
    </row>
    <row r="4505" spans="1:2" x14ac:dyDescent="0.2">
      <c r="A4505" s="1" t="s">
        <v>1571</v>
      </c>
      <c r="B4505" s="1" t="str">
        <f ca="1">IFERROR(__xludf.DUMFUNCTION("GOOGLETRANSLATE(A4646,""id"",""en"")"),"Ributin App  fortunately Shell's son")</f>
        <v>Ributin App  fortunately Shell's son</v>
      </c>
    </row>
    <row r="4506" spans="1:2" x14ac:dyDescent="0.2">
      <c r="A4506" s="1" t="s">
        <v>1572</v>
      </c>
      <c r="B4506" s="1" t="str">
        <f ca="1">IFERROR(__xludf.DUMFUNCTION("GOOGLETRANSLATE(A4647,""id"",""en"")"),"Yesterday the Telkom Internship Access Digitalization of the gas station using a Flash HP immediately unloaded the tank pump engine etc. safe from , it was raised using a cellphone")</f>
        <v>Yesterday the Telkom Internship Access Digitalization of the gas station using a Flash HP immediately unloaded the tank pump engine etc. safe from , it was raised using a cellphone</v>
      </c>
    </row>
    <row r="4507" spans="1:2" x14ac:dyDescent="0.2">
      <c r="A4507" s="1" t="s">
        <v>5248</v>
      </c>
      <c r="B4507" s="1" t="str">
        <f ca="1">IFERROR(__xludf.DUMFUNCTION("GOOGLETRANSLATE(A4648,""id"",""en"")"),"gas station prohibits you can use a cellphone from buying gasoline using  ")</f>
        <v xml:space="preserve">gas station prohibits you can use a cellphone from buying gasoline using  </v>
      </c>
    </row>
    <row r="4508" spans="1:2" x14ac:dyDescent="0.2">
      <c r="A4508" s="1" t="s">
        <v>1573</v>
      </c>
      <c r="B4508" s="1" t="str">
        <f ca="1">IFERROR(__xludf.DUMFUNCTION("GOOGLETRANSLATE(A4649,""id"",""en"")"),"Jokowi Luhut Ahox  Erick Tegare BUMN said that the crazy person whose hobby is squeezed the people at a price that is rocket in the same time")</f>
        <v>Jokowi Luhut Ahox  Erick Tegare BUMN said that the crazy person whose hobby is squeezed the people at a price that is rocket in the same time</v>
      </c>
    </row>
    <row r="4509" spans="1:2" x14ac:dyDescent="0.2">
      <c r="A4509" s="1" t="s">
        <v>525</v>
      </c>
      <c r="B4509" s="1" t="str">
        <f ca="1">IFERROR(__xludf.DUMFUNCTION("GOOGLETRANSLATE(A4650,""id"",""en"")"),"stupid")</f>
        <v>stupid</v>
      </c>
    </row>
    <row r="4510" spans="1:2" x14ac:dyDescent="0.2">
      <c r="A4510" s="1" t="s">
        <v>5249</v>
      </c>
      <c r="B4510" s="1" t="str">
        <f ca="1">IFERROR(__xludf.DUMFUNCTION("GOOGLETRANSLATE(A4651,""id"",""en"")"),"This is  , the gasoline, just arrived, I can't use the apps, I don't think")</f>
        <v>This is  , the gasoline, just arrived, I can't use the apps, I don't think</v>
      </c>
    </row>
    <row r="4511" spans="1:2" x14ac:dyDescent="0.2">
      <c r="A4511" s="1" t="s">
        <v>1385</v>
      </c>
      <c r="B4511" s="1" t="str">
        <f ca="1">IFERROR(__xludf.DUMFUNCTION("GOOGLETRANSLATE(A4652,""id"",""en"")"),"with  Salar Salar Subsidies Testing Pertalite Solar to list the results of the results of the results")</f>
        <v>with  Salar Salar Subsidies Testing Pertalite Solar to list the results of the results of the results</v>
      </c>
    </row>
    <row r="4512" spans="1:2" x14ac:dyDescent="0.2">
      <c r="A4512" s="1" t="s">
        <v>5250</v>
      </c>
      <c r="B4512" s="1" t="str">
        <f ca="1">IFERROR(__xludf.DUMFUNCTION("GOOGLETRANSLATE(A4653,""id"",""en"")"),"Pajero, who filled the pertalit yesterday, was the list or not,  ")</f>
        <v xml:space="preserve">Pajero, who filled the pertalit yesterday, was the list or not,  </v>
      </c>
    </row>
    <row r="4513" spans="1:2" x14ac:dyDescent="0.2">
      <c r="A4513" s="1" t="s">
        <v>1574</v>
      </c>
      <c r="B4513" s="1" t="str">
        <f ca="1">IFERROR(__xludf.DUMFUNCTION("GOOGLETRANSLATE(A4654,""id"",""en"")")," Sasar Subsidy Level Testing Pertalite Solar Trial for 's Good Job Good Job List")</f>
        <v xml:space="preserve"> Sasar Subsidy Level Testing Pertalite Solar Trial for 's Good Job Good Job List</v>
      </c>
    </row>
    <row r="4514" spans="1:2" x14ac:dyDescent="0.2">
      <c r="A4514" s="1" t="s">
        <v>1383</v>
      </c>
      <c r="B4514" s="1" t="str">
        <f ca="1">IFERROR(__xludf.DUMFUNCTION("GOOGLETRANSLATE(A4655,""id"",""en"")"),"Cool  Sasar Subsidy Level Testing Pertalite Solar Trial for List")</f>
        <v>Cool  Sasar Subsidy Level Testing Pertalite Solar Trial for List</v>
      </c>
    </row>
    <row r="4515" spans="1:2" x14ac:dyDescent="0.2">
      <c r="A4515" s="1" t="s">
        <v>1575</v>
      </c>
      <c r="B4515" s="1" t="str">
        <f ca="1">IFERROR(__xludf.DUMFUNCTION("GOOGLETRANSLATE(A4656,""id"",""en"")"),"Cooperative Tabiat  gas station Rasa KLHK")</f>
        <v>Cooperative Tabiat  gas station Rasa KLHK</v>
      </c>
    </row>
    <row r="4516" spans="1:2" x14ac:dyDescent="0.2">
      <c r="A4516" s="1" t="s">
        <v>1382</v>
      </c>
      <c r="B4516" s="1" t="str">
        <f ca="1">IFERROR(__xludf.DUMFUNCTION("GOOGLETRANSLATE(A4657,""id"",""en"")")," Sasar Subsidy Level Test Pertalite Solar Trial for a Good Efforts List")</f>
        <v xml:space="preserve"> Sasar Subsidy Level Test Pertalite Solar Trial for a Good Efforts List</v>
      </c>
    </row>
    <row r="4517" spans="1:2" x14ac:dyDescent="0.2">
      <c r="A4517" s="1" t="s">
        <v>1576</v>
      </c>
      <c r="B4517" s="1" t="str">
        <f ca="1">IFERROR(__xludf.DUMFUNCTION("GOOGLETRANSLATE(A4658,""id"",""en"")"),"the community lost  business that monopolized the market in the field of fuel vehicle, the motorbike select the capitalist authoritians broke up")</f>
        <v>the community lost  business that monopolized the market in the field of fuel vehicle, the motorbike select the capitalist authoritians broke up</v>
      </c>
    </row>
    <row r="4518" spans="1:2" x14ac:dyDescent="0.2">
      <c r="A4518" s="1" t="s">
        <v>1381</v>
      </c>
      <c r="B4518" s="1" t="str">
        <f ca="1">IFERROR(__xludf.DUMFUNCTION("GOOGLETRANSLATE(A4659,""id"",""en"")")," Sasar Subsidy Level Testing Pertalite Solar Trial to List of 's Good Job Good Job")</f>
        <v xml:space="preserve"> Sasar Subsidy Level Testing Pertalite Solar Trial to List of 's Good Job Good Job</v>
      </c>
    </row>
    <row r="4519" spans="1:2" x14ac:dyDescent="0.2">
      <c r="A4519" s="1" t="s">
        <v>1577</v>
      </c>
      <c r="B4519" s="1" t="str">
        <f ca="1">IFERROR(__xludf.DUMFUNCTION("GOOGLETRANSLATE(A4661,""id"",""en"")")," Sasar Subsidy Level Testing Pertalite Solar Trials to List of Wishag Roads smoothly")</f>
        <v xml:space="preserve"> Sasar Subsidy Level Testing Pertalite Solar Trials to List of Wishag Roads smoothly</v>
      </c>
    </row>
    <row r="4520" spans="1:2" x14ac:dyDescent="0.2">
      <c r="A4520" s="1" t="s">
        <v>1578</v>
      </c>
      <c r="B4520" s="1" t="str">
        <f ca="1">IFERROR(__xludf.DUMFUNCTION("GOOGLETRANSLATE(A4662,""id"",""en"")"),"relate accompanying the contents of the gasoline using the  app, it can't use the app using the App Payment using the debit or the gas station is available EDC Kachawww engine")</f>
        <v>relate accompanying the contents of the gasoline using the  app, it can't use the app using the App Payment using the debit or the gas station is available EDC Kachawww engine</v>
      </c>
    </row>
    <row r="4521" spans="1:2" x14ac:dyDescent="0.2">
      <c r="A4521" s="1" t="s">
        <v>1516</v>
      </c>
      <c r="B4521" s="1" t="str">
        <f ca="1">IFERROR(__xludf.DUMFUNCTION("GOOGLETRANSLATE(A4663,""id"",""en"")")," Sasar Subsidy Level Testing Pertalite Solar Trials To Register So Cool  Layan Good")</f>
        <v xml:space="preserve"> Sasar Subsidy Level Testing Pertalite Solar Trials To Register So Cool  Layan Good</v>
      </c>
    </row>
    <row r="4522" spans="1:2" x14ac:dyDescent="0.2">
      <c r="A4522" s="1" t="s">
        <v>5251</v>
      </c>
      <c r="B4522" s="1" t="str">
        <f ca="1">IFERROR(__xludf.DUMFUNCTION("GOOGLETRANSLATE(A4664,""id"",""en"")"),"Buy Pertalite Solar, the community must use the Wise  Application  is damaged who built the privacy of  gas station employees who fill the tank")</f>
        <v>Buy Pertalite Solar, the community must use the Wise  Application  is damaged who built the privacy of  gas station employees who fill the tank</v>
      </c>
    </row>
    <row r="4523" spans="1:2" x14ac:dyDescent="0.2">
      <c r="A4523" s="1" t="s">
        <v>5252</v>
      </c>
      <c r="B4523" s="1" t="str">
        <f ca="1">IFERROR(__xludf.DUMFUNCTION("GOOGLETRANSLATE(A4665,""id"",""en"")"),"PT  Patra Niaga Trial Trial for  Salur Salur Subsidized in June Test Phase PT  Patra Niaga Laku Southeast Sulawesi Terms")</f>
        <v>PT  Patra Niaga Trial Trial for  Salur Salur Subsidized in June Test Phase PT  Patra Niaga Laku Southeast Sulawesi Terms</v>
      </c>
    </row>
    <row r="4524" spans="1:2" x14ac:dyDescent="0.2">
      <c r="A4524" s="1" t="s">
        <v>1579</v>
      </c>
      <c r="B4524" s="1" t="str">
        <f ca="1">IFERROR(__xludf.DUMFUNCTION("GOOGLETRANSLATE(A4666,""id"",""en"")"),"MULIA BAKSO SELLING PADAN PADAN Ligitan Island  Indosat Garong Money Bansos")</f>
        <v>MULIA BAKSO SELLING PADAN PADAN Ligitan Island  Indosat Garong Money Bansos</v>
      </c>
    </row>
    <row r="4525" spans="1:2" x14ac:dyDescent="0.2">
      <c r="A4525" s="1" t="s">
        <v>1580</v>
      </c>
      <c r="B4525" s="1" t="str">
        <f ca="1">IFERROR(__xludf.DUMFUNCTION("GOOGLETRANSLATE(A4667,""id"",""en"")"),"regulation changes the range of the machine hahahah if the shell tap the application adds cashier points if  rarely goes down the vehicle can be wkwkwk")</f>
        <v>regulation changes the range of the machine hahahah if the shell tap the application adds cashier points if  rarely goes down the vehicle can be wkwkwk</v>
      </c>
    </row>
    <row r="4526" spans="1:2" x14ac:dyDescent="0.2">
      <c r="A4526" s="1" t="s">
        <v>5253</v>
      </c>
      <c r="B4526" s="1" t="str">
        <f ca="1">IFERROR(__xludf.DUMFUNCTION("GOOGLETRANSLATE(A4668,""id"",""en"")"),"Confused sm wisely in July, if the contents of  must use  apk , how come you can play cellphones.")</f>
        <v>Confused sm wisely in July, if the contents of  must use  apk , how come you can play cellphones.</v>
      </c>
    </row>
    <row r="4527" spans="1:2" x14ac:dyDescent="0.2">
      <c r="A4527" s="1" t="s">
        <v>1581</v>
      </c>
      <c r="B4527" s="1" t="str">
        <f ca="1">IFERROR(__xludf.DUMFUNCTION("GOOGLETRANSLATE(A4669,""id"",""en"")"),"Ahok bacot who does not work proof of the commut  just sleep, fortunately the wise karerna monopoly ahok komut loss ask")</f>
        <v>Ahok bacot who does not work proof of the commut  just sleep, fortunately the wise karerna monopoly ahok komut loss ask</v>
      </c>
    </row>
    <row r="4528" spans="1:2" x14ac:dyDescent="0.2">
      <c r="A4528" s="1" t="s">
        <v>5254</v>
      </c>
      <c r="B4528" s="1" t="str">
        <f ca="1">IFERROR(__xludf.DUMFUNCTION("GOOGLETRANSLATE(A4670,""id"",""en"")"),"WAYAHE Closes Banking Not Do Ngo Top Up  ")</f>
        <v xml:space="preserve">WAYAHE Closes Banking Not Do Ngo Top Up  </v>
      </c>
    </row>
    <row r="4529" spans="1:2" x14ac:dyDescent="0.2">
      <c r="A4529" s="1" t="s">
        <v>5255</v>
      </c>
      <c r="B4529" s="1" t="str">
        <f ca="1">IFERROR(__xludf.DUMFUNCTION("GOOGLETRANSLATE(A4671,""id"",""en"")"),"Maen HP prohibit gas stations, why pay fuel to use   bbm ")</f>
        <v xml:space="preserve">Maen HP prohibit gas stations, why pay fuel to use   bbm </v>
      </c>
    </row>
    <row r="4530" spans="1:2" x14ac:dyDescent="0.2">
      <c r="A4530" s="1" t="s">
        <v>1582</v>
      </c>
      <c r="B4530" s="1" t="str">
        <f ca="1">IFERROR(__xludf.DUMFUNCTION("GOOGLETRANSLATE(A4672,""id"",""en"")"),"Discussion of Interatiktifshinta Pros and pros and buy fuel subsidies Pertalite Solar Application  Application Effective Sasar Live Very Energy Reforminer Institute Khomaidi Notonegoro Streaming")</f>
        <v>Discussion of Interatiktifshinta Pros and pros and buy fuel subsidies Pertalite Solar Application  Application Effective Sasar Live Very Energy Reforminer Institute Khomaidi Notonegoro Streaming</v>
      </c>
    </row>
    <row r="4531" spans="1:2" x14ac:dyDescent="0.2">
      <c r="A4531" s="1" t="s">
        <v>1583</v>
      </c>
      <c r="B4531" s="1" t="str">
        <f ca="1">IFERROR(__xludf.DUMFUNCTION("GOOGLETRANSLATE(A4673,""id"",""en"")"),"Millennials explain the mother using hope guys are ready for the mental and emotional burden of repeating the information on and on and on and on again cheers guys and fuck need to buy quota before buying gasoline now  why makes it complicated.")</f>
        <v>Millennials explain the mother using hope guys are ready for the mental and emotional burden of repeating the information on and on and on and on again cheers guys and fuck need to buy quota before buying gasoline now  why makes it complicated.</v>
      </c>
    </row>
    <row r="4532" spans="1:2" x14ac:dyDescent="0.2">
      <c r="A4532" s="1" t="s">
        <v>5256</v>
      </c>
      <c r="B4532" s="1" t="str">
        <f ca="1">IFERROR(__xludf.DUMFUNCTION("GOOGLETRANSLATE(A4674,""id"",""en"")"),"kl pertalite download  ")</f>
        <v xml:space="preserve">kl pertalite download  </v>
      </c>
    </row>
    <row r="4533" spans="1:2" x14ac:dyDescent="0.2">
      <c r="A4533" s="1" t="s">
        <v>5257</v>
      </c>
      <c r="B4533" s="1" t="str">
        <f ca="1">IFERROR(__xludf.DUMFUNCTION("GOOGLETRANSLATE(A4675,""id"",""en"")"),"Life feels difficult right and left Arrange caring for protected  protection forgiveness njenengan phone isrofil mawon kersane ndang sebul trompette")</f>
        <v>Life feels difficult right and left Arrange caring for protected  protection forgiveness njenengan phone isrofil mawon kersane ndang sebul trompette</v>
      </c>
    </row>
    <row r="4534" spans="1:2" x14ac:dyDescent="0.2">
      <c r="A4534" s="1" t="s">
        <v>5258</v>
      </c>
      <c r="B4534" s="1" t="str">
        <f ca="1">IFERROR(__xludf.DUMFUNCTION("GOOGLETRANSLATE(A4676,""id"",""en"")"),"Stopbelidi Stopbelidi Stopbelidi Stopbelidipertamine Stopbelidi Stopbelidi Stopbelidi Stopbelidi Stopbelidi")</f>
        <v>Stopbelidi Stopbelidi Stopbelidi Stopbelidipertamine Stopbelidi Stopbelidi Stopbelidi Stopbelidi Stopbelidi</v>
      </c>
    </row>
    <row r="4535" spans="1:2" x14ac:dyDescent="0.2">
      <c r="A4535" s="1" t="s">
        <v>526</v>
      </c>
      <c r="B4535" s="1" t="str">
        <f ca="1">IFERROR(__xludf.DUMFUNCTION("GOOGLETRANSLATE(A4677,""id"",""en"")"),"Ga Bandung just the gas station is also a sense of bothering the people why makes it easy")</f>
        <v>Ga Bandung just the gas station is also a sense of bothering the people why makes it easy</v>
      </c>
    </row>
    <row r="4536" spans="1:2" x14ac:dyDescent="0.2">
      <c r="A4536" s="1" t="s">
        <v>527</v>
      </c>
      <c r="B4536" s="1" t="str">
        <f ca="1">IFERROR(__xludf.DUMFUNCTION("GOOGLETRANSLATE(A4678,""id"",""en"")"),"oh playing a gas station mobile, hopefully it won't be a boom when filling in fuel buying bulk cooking oil")</f>
        <v>oh playing a gas station mobile, hopefully it won't be a boom when filling in fuel buying bulk cooking oil</v>
      </c>
    </row>
    <row r="4537" spans="1:2" x14ac:dyDescent="0.2">
      <c r="A4537" s="1" t="s">
        <v>5259</v>
      </c>
      <c r="B4537" s="1" t="str">
        <f ca="1">IFERROR(__xludf.DUMFUNCTION("GOOGLETRANSLATE(A4679,""id"",""en"")"),"like buying pertalite using   people fill in the balance link just link, just the link is not sold, yes, the BUMN wallet is added, so the state debt is entered")</f>
        <v>like buying pertalite using   people fill in the balance link just link, just the link is not sold, yes, the BUMN wallet is added, so the state debt is entered</v>
      </c>
    </row>
    <row r="4538" spans="1:2" x14ac:dyDescent="0.2">
      <c r="A4538" s="1" t="s">
        <v>5260</v>
      </c>
      <c r="B4538" s="1" t="str">
        <f ca="1">IFERROR(__xludf.DUMFUNCTION("GOOGLETRANSLATE(A4680,""id"",""en"")"),"plans to buy gasoline using   wkwk")</f>
        <v>plans to buy gasoline using   wkwk</v>
      </c>
    </row>
    <row r="4539" spans="1:2" x14ac:dyDescent="0.2">
      <c r="A4539" s="1" t="s">
        <v>1584</v>
      </c>
      <c r="B4539" s="1" t="str">
        <f ca="1">IFERROR(__xludf.DUMFUNCTION("GOOGLETRANSLATE(A4681,""id"",""en"")"),"Just install the CCTV, the gas station is done, the song is just a romance of the application that is fond of Sogo  so it makes you pretentious to work even though it is siiihhhhhh")</f>
        <v>Just install the CCTV, the gas station is done, the song is just a romance of the application that is fond of Sogo  so it makes you pretentious to work even though it is siiihhhhhh</v>
      </c>
    </row>
    <row r="4540" spans="1:2" x14ac:dyDescent="0.2">
      <c r="A4540" s="1" t="s">
        <v>1016</v>
      </c>
      <c r="B4540" s="1" t="str">
        <f ca="1">IFERROR(__xludf.DUMFUNCTION("GOOGLETRANSLATE(A4682,""id"",""en"")")," Ep Boreh West Papua Well")</f>
        <v xml:space="preserve"> Ep Boreh West Papua Well</v>
      </c>
    </row>
    <row r="4541" spans="1:2" x14ac:dyDescent="0.2">
      <c r="A4541" s="1" t="s">
        <v>1585</v>
      </c>
      <c r="B4541" s="1" t="str">
        <f ca="1">IFERROR(__xludf.DUMFUNCTION("GOOGLETRANSLATE(A4683,""id"",""en"")"),"stop discourse buying bbm list of  applications read reviews")</f>
        <v>stop discourse buying bbm list of  applications read reviews</v>
      </c>
    </row>
    <row r="4542" spans="1:2" x14ac:dyDescent="0.2">
      <c r="A4542" s="1" t="s">
        <v>1586</v>
      </c>
      <c r="B4542" s="1" t="str">
        <f ca="1">IFERROR(__xludf.DUMFUNCTION("GOOGLETRANSLATE(A4684,""id"",""en"")"),"No Offense But Receive Oil Engineering  University Pathway Report Reported Actually Sucks")</f>
        <v>No Offense But Receive Oil Engineering  University Pathway Report Reported Actually Sucks</v>
      </c>
    </row>
    <row r="4543" spans="1:2" x14ac:dyDescent="0.2">
      <c r="A4543" s="1" t="s">
        <v>5261</v>
      </c>
      <c r="B4543" s="1" t="str">
        <f ca="1">IFERROR(__xludf.DUMFUNCTION("GOOGLETRANSLATE(A4685,""id"",""en"")"),"issue using   grateful already moved shell using a shellpoint apk")</f>
        <v>issue using   grateful already moved shell using a shellpoint apk</v>
      </c>
    </row>
    <row r="4544" spans="1:2" x14ac:dyDescent="0.2">
      <c r="A4544" s="1" t="s">
        <v>5262</v>
      </c>
      <c r="B4544" s="1" t="str">
        <f ca="1">IFERROR(__xludf.DUMFUNCTION("GOOGLETRANSLATE(A4686,""id"",""en"")"),"Let the head of Getwellsoonononjeppfsatur Boikotaice Indra Bekti Holywings Azzam TKA China Ve Psychology   Momenterindah Namjoon Las Anime Marvelcaday Close to the Sanrio Viral Aksiat")</f>
        <v>Let the head of Getwellsoonononjeppfsatur Boikotaice Indra Bekti Holywings Azzam TKA China Ve Psychology   Momenterindah Namjoon Las Anime Marvelcaday Close to the Sanrio Viral Aksiat</v>
      </c>
    </row>
    <row r="4545" spans="1:2" x14ac:dyDescent="0.2">
      <c r="A4545" s="1" t="s">
        <v>1587</v>
      </c>
      <c r="B4545" s="1" t="str">
        <f ca="1">IFERROR(__xludf.DUMFUNCTION("GOOGLETRANSLATE(A4687,""id"",""en"")"),"Subcribe Channel Yutub ")</f>
        <v xml:space="preserve">Subcribe Channel Yutub </v>
      </c>
    </row>
    <row r="4546" spans="1:2" x14ac:dyDescent="0.2">
      <c r="A4546" s="1" t="s">
        <v>528</v>
      </c>
      <c r="B4546" s="1" t="str">
        <f ca="1">IFERROR(__xludf.DUMFUNCTION("GOOGLETRANSLATE(A4688,""id"",""en"")"),"Hello reviewing to playstore, try it well quickly on the trial of buying pertalite pk apps")</f>
        <v>Hello reviewing to playstore, try it well quickly on the trial of buying pertalite pk apps</v>
      </c>
    </row>
    <row r="4547" spans="1:2" x14ac:dyDescent="0.2">
      <c r="A4547" s="1" t="s">
        <v>5263</v>
      </c>
      <c r="B4547" s="1" t="str">
        <f ca="1">IFERROR(__xludf.DUMFUNCTION("GOOGLETRANSLATE(A4689,""id"",""en"")"),"Buy BBM using the  Application Do not immediately bring a cellphone to make it set to prohibit the hand -held of the HP POM  Lawak")</f>
        <v>Buy BBM using the  Application Do not immediately bring a cellphone to make it set to prohibit the hand -held of the HP POM  Lawak</v>
      </c>
    </row>
    <row r="4548" spans="1:2" x14ac:dyDescent="0.2">
      <c r="A4548" s="1" t="s">
        <v>5264</v>
      </c>
      <c r="B4548" s="1" t="str">
        <f ca="1">IFERROR(__xludf.DUMFUNCTION("GOOGLETRANSLATE(A4690,""id"",""en"")"),"Fill the gasoline using the   Skalian application, but the toilet is required to use the  MEK application")</f>
        <v>Fill the gasoline using the   Skalian application, but the toilet is required to use the  MEK application</v>
      </c>
    </row>
    <row r="4549" spans="1:2" x14ac:dyDescent="0.2">
      <c r="A4549" s="1" t="s">
        <v>529</v>
      </c>
      <c r="B4549" s="1" t="str">
        <f ca="1">IFERROR(__xludf.DUMFUNCTION("GOOGLETRANSLATE(A4691,""id"",""en"")"),"dear please return premium gpp wes ron who came out not swollen adjust homework")</f>
        <v>dear please return premium gpp wes ron who came out not swollen adjust homework</v>
      </c>
    </row>
    <row r="4550" spans="1:2" x14ac:dyDescent="0.2">
      <c r="A4550" s="1" t="s">
        <v>1588</v>
      </c>
      <c r="B4550" s="1" t="str">
        <f ca="1">IFERROR(__xludf.DUMFUNCTION("GOOGLETRANSLATE(A4692,""id"",""en"")"),"Bismillah Receive  BUMN, Already Entering PTS Private Money Zone Successful")</f>
        <v>Bismillah Receive  BUMN, Already Entering PTS Private Money Zone Successful</v>
      </c>
    </row>
    <row r="4551" spans="1:2" x14ac:dyDescent="0.2">
      <c r="A4551" s="1" t="s">
        <v>5265</v>
      </c>
      <c r="B4551" s="1" t="str">
        <f ca="1">IFERROR(__xludf.DUMFUNCTION("GOOGLETRANSLATE(A4693,""id"",""en"")")," prohibits active cell phone Also 's contents of BBM scan hehehe  peak comedy what eats drinking saliva")</f>
        <v xml:space="preserve"> prohibits active cell phone Also 's contents of BBM scan hehehe  peak comedy what eats drinking saliva</v>
      </c>
    </row>
    <row r="4552" spans="1:2" x14ac:dyDescent="0.2">
      <c r="A4552" s="1" t="s">
        <v>1589</v>
      </c>
      <c r="B4552" s="1" t="str">
        <f ca="1">IFERROR(__xludf.DUMFUNCTION("GOOGLETRANSLATE(A4694,""id"",""en"")"),"Senior Analyst  Nanung Karnasi Call KPK Corruption LNG")</f>
        <v>Senior Analyst  Nanung Karnasi Call KPK Corruption LNG</v>
      </c>
    </row>
    <row r="4553" spans="1:2" x14ac:dyDescent="0.2">
      <c r="A4553" s="1" t="s">
        <v>5266</v>
      </c>
      <c r="B4553" s="1" t="str">
        <f ca="1">IFERROR(__xludf.DUMFUNCTION("GOOGLETRANSLATE(A4695,""id"",""en"")"),"  application order buy fuel fuel fuel subsidized")</f>
        <v xml:space="preserve">  application order buy fuel fuel fuel subsidized</v>
      </c>
    </row>
    <row r="4554" spans="1:2" x14ac:dyDescent="0.2">
      <c r="A4554" s="1" t="s">
        <v>530</v>
      </c>
      <c r="B4554" s="1" t="str">
        <f ca="1">IFERROR(__xludf.DUMFUNCTION("GOOGLETRANSLATE(A4696,""id"",""en"")"),"if queuing for solar junior high school, the shadow is not distributed by the food that is needed")</f>
        <v>if queuing for solar junior high school, the shadow is not distributed by the food that is needed</v>
      </c>
    </row>
    <row r="4555" spans="1:2" x14ac:dyDescent="0.2">
      <c r="A4555" s="1" t="s">
        <v>1590</v>
      </c>
      <c r="B4555" s="1" t="str">
        <f ca="1">IFERROR(__xludf.DUMFUNCTION("GOOGLETRANSLATE(A4697,""id"",""en"")"),"This makes the idea of ​​buying BBM using 's apps, how come")</f>
        <v>This makes the idea of ​​buying BBM using 's apps, how come</v>
      </c>
    </row>
    <row r="4556" spans="1:2" x14ac:dyDescent="0.2">
      <c r="A4556" s="1" t="s">
        <v>1591</v>
      </c>
      <c r="B4556" s="1" t="str">
        <f ca="1">IFERROR(__xludf.DUMFUNCTION("GOOGLETRANSLATE(A4698,""id"",""en"")"),"RAS SAKTI Touch the Law Selling Indosat Selling SKL BLBI Selling  Sipadan Ligitan Tanker Disappears")</f>
        <v>RAS SAKTI Touch the Law Selling Indosat Selling SKL BLBI Selling  Sipadan Ligitan Tanker Disappears</v>
      </c>
    </row>
    <row r="4557" spans="1:2" x14ac:dyDescent="0.2">
      <c r="A4557" s="1" t="s">
        <v>1592</v>
      </c>
      <c r="B4557" s="1" t="str">
        <f ca="1">IFERROR(__xludf.DUMFUNCTION("GOOGLETRANSLATE(A4699,""id"",""en"")"),"Gin yes  sells applications that don't sell")</f>
        <v>Gin yes  sells applications that don't sell</v>
      </c>
    </row>
    <row r="4558" spans="1:2" x14ac:dyDescent="0.2">
      <c r="A4558" s="1" t="s">
        <v>5267</v>
      </c>
      <c r="B4558" s="1" t="str">
        <f ca="1">IFERROR(__xludf.DUMFUNCTION("GOOGLETRANSLATE(A4700,""id"",""en"")"),"  Application of Gajlelasi Anj Gaada Tutorial Mesan Pas Try Cs Gin Chat Features")</f>
        <v xml:space="preserve">  Application of Gajlelasi Anj Gaada Tutorial Mesan Pas Try Cs Gin Chat Features</v>
      </c>
    </row>
    <row r="4559" spans="1:2" x14ac:dyDescent="0.2">
      <c r="A4559" s="1" t="s">
        <v>5268</v>
      </c>
      <c r="B4559" s="1" t="str">
        <f ca="1">IFERROR(__xludf.DUMFUNCTION("GOOGLETRANSLATE(A4701,""id"",""en"")"),"I am happy with  wise,   uses Pertamax so it doesn't influence, I'm happy, I am happy to feel the exact impact")</f>
        <v>I am happy with  wise,   uses Pertamax so it doesn't influence, I'm happy, I am happy to feel the exact impact</v>
      </c>
    </row>
    <row r="4560" spans="1:2" x14ac:dyDescent="0.2">
      <c r="A4560" s="1" t="s">
        <v>1593</v>
      </c>
      <c r="B4560" s="1" t="str">
        <f ca="1">IFERROR(__xludf.DUMFUNCTION("GOOGLETRANSLATE(A4702,""id"",""en"")"),"Download Apk Steady Easy Download Apk  Fill in Gasoline")</f>
        <v>Download Apk Steady Easy Download Apk  Fill in Gasoline</v>
      </c>
    </row>
    <row r="4561" spans="1:2" x14ac:dyDescent="0.2">
      <c r="A4561" s="1" t="s">
        <v>1594</v>
      </c>
      <c r="B4561" s="1" t="str">
        <f ca="1">IFERROR(__xludf.DUMFUNCTION("GOOGLETRANSLATE(A4703,""id"",""en"")"),"already moved shell ajah who didn't use  complicated")</f>
        <v>already moved shell ajah who didn't use  complicated</v>
      </c>
    </row>
    <row r="4562" spans="1:2" x14ac:dyDescent="0.2">
      <c r="A4562" s="1" t="s">
        <v>1595</v>
      </c>
      <c r="B4562" s="1" t="str">
        <f ca="1">IFERROR(__xludf.DUMFUNCTION("GOOGLETRANSLATE(A4704,""id"",""en"")"),"Inti Savedatarakyat  is silly profit using the application")</f>
        <v>Inti Savedatarakyat  is silly profit using the application</v>
      </c>
    </row>
    <row r="4563" spans="1:2" x14ac:dyDescent="0.2">
      <c r="A4563" s="1" t="s">
        <v>5269</v>
      </c>
      <c r="B4563" s="1" t="str">
        <f ca="1">IFERROR(__xludf.DUMFUNCTION("GOOGLETRANSLATE(A4705,""id"",""en"")"),"NGANGGO   AMIH APPLICATION CHEAP")</f>
        <v>NGANGGO   AMIH APPLICATION CHEAP</v>
      </c>
    </row>
    <row r="4564" spans="1:2" x14ac:dyDescent="0.2">
      <c r="A4564" s="1" t="s">
        <v>1596</v>
      </c>
      <c r="B4564" s="1" t="str">
        <f ca="1">IFERROR(__xludf.DUMFUNCTION("GOOGLETRANSLATE(A4707,""id"",""en"")"),"this is really pretentious to ideal digital infrastructure for digitalization, just zonk alas  is also not very logical")</f>
        <v>this is really pretentious to ideal digital infrastructure for digitalization, just zonk alas  is also not very logical</v>
      </c>
    </row>
    <row r="4565" spans="1:2" x14ac:dyDescent="0.2">
      <c r="A4565" s="1" t="s">
        <v>5270</v>
      </c>
      <c r="B4565" s="1" t="str">
        <f ca="1">IFERROR(__xludf.DUMFUNCTION("GOOGLETRANSLATE(A4708,""id"",""en"")"),"  Use Linkaja")</f>
        <v xml:space="preserve">  Use Linkaja</v>
      </c>
    </row>
    <row r="4566" spans="1:2" x14ac:dyDescent="0.2">
      <c r="A4566" s="1" t="s">
        <v>1597</v>
      </c>
      <c r="B4566" s="1" t="str">
        <f ca="1">IFERROR(__xludf.DUMFUNCTION("GOOGLETRANSLATE(A4709,""id"",""en"")"),"Remember to download a great apk easy to buy gasoline using a  apk")</f>
        <v>Remember to download a great apk easy to buy gasoline using a  apk</v>
      </c>
    </row>
    <row r="4567" spans="1:2" x14ac:dyDescent="0.2">
      <c r="A4567" s="1" t="s">
        <v>5271</v>
      </c>
      <c r="B4567" s="1" t="str">
        <f ca="1">IFERROR(__xludf.DUMFUNCTION("GOOGLETRANSLATE(A4710,""id"",""en"")"),"For the   application, the limit for the fuel for fuel subsidized petralite is a luxurious vehicle, talking about digital era data")</f>
        <v>For the   application, the limit for the fuel for fuel subsidized petralite is a luxurious vehicle, talking about digital era data</v>
      </c>
    </row>
    <row r="4568" spans="1:2" x14ac:dyDescent="0.2">
      <c r="A4568" s="1" t="s">
        <v>5272</v>
      </c>
      <c r="B4568" s="1" t="str">
        <f ca="1">IFERROR(__xludf.DUMFUNCTION("GOOGLETRANSLATE(A4712,""id"",""en"")"),"  Po Kui wkwk")</f>
        <v xml:space="preserve">  Po Kui wkwk</v>
      </c>
    </row>
    <row r="4569" spans="1:2" x14ac:dyDescent="0.2">
      <c r="A4569" s="1" t="s">
        <v>5273</v>
      </c>
      <c r="B4569" s="1" t="str">
        <f ca="1">IFERROR(__xludf.DUMFUNCTION("GOOGLETRANSLATE(A4713,""id"",""en"")"),"  who uses the card or not")</f>
        <v xml:space="preserve">  who uses the card or not</v>
      </c>
    </row>
    <row r="4570" spans="1:2" x14ac:dyDescent="0.2">
      <c r="A4570" s="1" t="s">
        <v>1598</v>
      </c>
      <c r="B4570" s="1" t="str">
        <f ca="1">IFERROR(__xludf.DUMFUNCTION("GOOGLETRANSLATE(A4714,""id"",""en"")"),"Oh 's strategy")</f>
        <v>Oh 's strategy</v>
      </c>
    </row>
    <row r="4571" spans="1:2" x14ac:dyDescent="0.2">
      <c r="A4571" s="1" t="s">
        <v>1599</v>
      </c>
      <c r="B4571" s="1" t="str">
        <f ca="1">IFERROR(__xludf.DUMFUNCTION("GOOGLETRANSLATE(A4715,""id"",""en"")"),"what I mention  is not the business as long as it makes me wise already think through the risk factors of the field they are not really possible")</f>
        <v>what I mention  is not the business as long as it makes me wise already think through the risk factors of the field they are not really possible</v>
      </c>
    </row>
    <row r="4572" spans="1:2" x14ac:dyDescent="0.2">
      <c r="A4572" s="1" t="s">
        <v>1600</v>
      </c>
      <c r="B4572" s="1" t="str">
        <f ca="1">IFERROR(__xludf.DUMFUNCTION("GOOGLETRANSLATE(A4716,""id"",""en"")"),"Suggestions Pertralite Salang Work  Ministry of Home Affairs Data that is easily easy to hang hard hanging")</f>
        <v>Suggestions Pertralite Salang Work  Ministry of Home Affairs Data that is easily easy to hang hard hanging</v>
      </c>
    </row>
    <row r="4573" spans="1:2" x14ac:dyDescent="0.2">
      <c r="A4573" s="1" t="s">
        <v>1601</v>
      </c>
      <c r="B4573" s="1" t="str">
        <f ca="1">IFERROR(__xludf.DUMFUNCTION("GOOGLETRANSLATE(A4717,""id"",""en"")"),"Below the list of regions serviced trials for buying solar subsidies Pertalite   EnergyToday EnergyTodayid")</f>
        <v>Below the list of regions serviced trials for buying solar subsidies Pertalite   EnergyToday EnergyTodayid</v>
      </c>
    </row>
    <row r="4574" spans="1:2" x14ac:dyDescent="0.2">
      <c r="A4574" s="1" t="s">
        <v>1602</v>
      </c>
      <c r="B4574" s="1" t="str">
        <f ca="1">IFERROR(__xludf.DUMFUNCTION("GOOGLETRANSLATE(A4718,""id"",""en"")"),"Please order the leader who Idiot Stupid Guarantee Opens 's HP may be enemies the people of the gas station when opening the application that is crazy about crazy")</f>
        <v>Please order the leader who Idiot Stupid Guarantee Opens 's HP may be enemies the people of the gas station when opening the application that is crazy about crazy</v>
      </c>
    </row>
    <row r="4575" spans="1:2" x14ac:dyDescent="0.2">
      <c r="A4575" s="1" t="s">
        <v>1603</v>
      </c>
      <c r="B4575" s="1" t="str">
        <f ca="1">IFERROR(__xludf.DUMFUNCTION("GOOGLETRANSLATE(A4719,""id"",""en"")"),"'s work of the results of the results of bringing good achievements in  EnergyToday EnergyTodayid")</f>
        <v>'s work of the results of the results of bringing good achievements in  EnergyToday EnergyTodayid</v>
      </c>
    </row>
    <row r="4576" spans="1:2" x14ac:dyDescent="0.2">
      <c r="A4576" s="1" t="s">
        <v>5274</v>
      </c>
      <c r="B4576" s="1" t="str">
        <f ca="1">IFERROR(__xludf.DUMFUNCTION("GOOGLETRANSLATE(A4720,""id"",""en"")"),"Look at it if wise, Grab Gojek just access it, it only needs to be needed if   is complicated.")</f>
        <v>Look at it if wise, Grab Gojek just access it, it only needs to be needed if   is complicated.</v>
      </c>
    </row>
    <row r="4577" spans="1:2" x14ac:dyDescent="0.2">
      <c r="A4577" s="1" t="s">
        <v>1604</v>
      </c>
      <c r="B4577" s="1" t="str">
        <f ca="1">IFERROR(__xludf.DUMFUNCTION("GOOGLETRANSLATE(A4721,""id"",""en"")"),"Congratulations  Successfully Wins Ranking Worlds Strongest Oil and Gas Brands Cool  EnergyToday EnergyTodayid")</f>
        <v>Congratulations  Successfully Wins Ranking Worlds Strongest Oil and Gas Brands Cool  EnergyToday EnergyTodayid</v>
      </c>
    </row>
    <row r="4578" spans="1:2" x14ac:dyDescent="0.2">
      <c r="A4578" s="1" t="s">
        <v>1605</v>
      </c>
      <c r="B4578" s="1" t="str">
        <f ca="1">IFERROR(__xludf.DUMFUNCTION("GOOGLETRANSLATE(A4722,""id"",""en"")"),"Yes, if I don't have Effort, you make an account that uses Pertamax, after the fate that is not literate, how come the technology is  Mang, saying that you see the execution")</f>
        <v>Yes, if I don't have Effort, you make an account that uses Pertamax, after the fate that is not literate, how come the technology is  Mang, saying that you see the execution</v>
      </c>
    </row>
    <row r="4579" spans="1:2" x14ac:dyDescent="0.2">
      <c r="A4579" s="1" t="s">
        <v>5275</v>
      </c>
      <c r="B4579" s="1" t="str">
        <f ca="1">IFERROR(__xludf.DUMFUNCTION("GOOGLETRANSLATE(A4723,""id"",""en"")"),"Fishermen need a farmer boat engine BBM Need a Tractor that Apps   Difficult to Live")</f>
        <v>Fishermen need a farmer boat engine BBM Need a Tractor that Apps   Difficult to Live</v>
      </c>
    </row>
    <row r="4580" spans="1:2" x14ac:dyDescent="0.2">
      <c r="A4580" s="1" t="s">
        <v>5276</v>
      </c>
      <c r="B4580" s="1" t="str">
        <f ca="1">IFERROR(__xludf.DUMFUNCTION("GOOGLETRANSLATE(A4724,""id"",""en"")"),"if you use   scan barcode, the misamen is already calculated already a learning machine etc. yes mobile devices choose")</f>
        <v>if you use   scan barcode, the misamen is already calculated already a learning machine etc. yes mobile devices choose</v>
      </c>
    </row>
    <row r="4581" spans="1:2" x14ac:dyDescent="0.2">
      <c r="A4581" s="1" t="s">
        <v>5065</v>
      </c>
      <c r="B4581" s="1" t="str">
        <f ca="1">IFERROR(__xludf.DUMFUNCTION("GOOGLETRANSLATE(A4725,""id"",""en"")"),"  Pertamax Bright Gas Giveaway rjbt ")</f>
        <v xml:space="preserve">  Pertamax Bright Gas Giveaway rjbt </v>
      </c>
    </row>
    <row r="4582" spans="1:2" x14ac:dyDescent="0.2">
      <c r="A4582" s="1" t="s">
        <v>1606</v>
      </c>
      <c r="B4582" s="1" t="str">
        <f ca="1">IFERROR(__xludf.DUMFUNCTION("GOOGLETRANSLATE(A4726,""id"",""en"")"),"The Pertalite Solar Rights Society, please register for the stage, of course  EnergyToday EnergyTodayid")</f>
        <v>The Pertalite Solar Rights Society, please register for the stage, of course  EnergyToday EnergyTodayid</v>
      </c>
    </row>
    <row r="4583" spans="1:2" x14ac:dyDescent="0.2">
      <c r="A4583" s="1" t="s">
        <v>5277</v>
      </c>
      <c r="B4583" s="1" t="str">
        <f ca="1">IFERROR(__xludf.DUMFUNCTION("GOOGLETRANSLATE(A4727,""id"",""en"")"),"Remember the junior high school song, the song Dikta Tags Boyikotaice Indra Bekti Holywings Azzam Chinese TKA VE PSYCHOLOGY   MOMENTERindah Last Anime MarvelSeselcaday Close the place of Namjoon Soyoung Sanrio")</f>
        <v>Remember the junior high school song, the song Dikta Tags Boyikotaice Indra Bekti Holywings Azzam Chinese TKA VE PSYCHOLOGY   MOMENTERindah Last Anime MarvelSeselcaday Close the place of Namjoon Soyoung Sanrio</v>
      </c>
    </row>
    <row r="4584" spans="1:2" x14ac:dyDescent="0.2">
      <c r="A4584" s="1" t="s">
        <v>1607</v>
      </c>
      <c r="B4584" s="1" t="str">
        <f ca="1">IFERROR(__xludf.DUMFUNCTION("GOOGLETRANSLATE(A4728,""id"",""en"")"),"play a cellphone yes the area of ​​ gas station")</f>
        <v>play a cellphone yes the area of ​​ gas station</v>
      </c>
    </row>
    <row r="4585" spans="1:2" x14ac:dyDescent="0.2">
      <c r="A4585" s="1" t="s">
        <v>1608</v>
      </c>
      <c r="B4585" s="1" t="str">
        <f ca="1">IFERROR(__xludf.DUMFUNCTION("GOOGLETRANSLATE(A4729,""id"",""en"")")," PT  Patra Niaga Trial Servants Selling Pertalite Solar Consumer Consumer List of  EnergyToday EnergyTodayid")</f>
        <v xml:space="preserve"> PT  Patra Niaga Trial Servants Selling Pertalite Solar Consumer Consumer List of  EnergyToday EnergyTodayid</v>
      </c>
    </row>
    <row r="4586" spans="1:2" x14ac:dyDescent="0.2">
      <c r="A4586" s="1" t="s">
        <v>5278</v>
      </c>
      <c r="B4586" s="1" t="str">
        <f ca="1">IFERROR(__xludf.DUMFUNCTION("GOOGLETRANSLATE(A4730,""id"",""en"")"),"for the elderly who are gaptek app   which is an alternative Android phone that the cellphone is sometimes difficult for example the elderly farmer fishermen")</f>
        <v>for the elderly who are gaptek app   which is an alternative Android phone that the cellphone is sometimes difficult for example the elderly farmer fishermen</v>
      </c>
    </row>
    <row r="4587" spans="1:2" x14ac:dyDescent="0.2">
      <c r="A4587" s="1" t="s">
        <v>5279</v>
      </c>
      <c r="B4587" s="1" t="str">
        <f ca="1">IFERROR(__xludf.DUMFUNCTION("GOOGLETRANSLATE(A4731,""id"",""en"")"),"List of Solar Selling Areas Testing    Energytoday EnergyTodayid")</f>
        <v>List of Solar Selling Areas Testing    Energytoday EnergyTodayid</v>
      </c>
    </row>
    <row r="4588" spans="1:2" x14ac:dyDescent="0.2">
      <c r="A4588" s="1" t="s">
        <v>1609</v>
      </c>
      <c r="B4588" s="1" t="str">
        <f ca="1">IFERROR(__xludf.DUMFUNCTION("GOOGLETRANSLATE(A4732,""id"",""en"")"),"achieve a ranking of Worlds Strongest Oil and Gas Brands resistant to  Energy Energy Energy Achievement Achievement")</f>
        <v>achieve a ranking of Worlds Strongest Oil and Gas Brands resistant to  Energy Energy Energy Achievement Achievement</v>
      </c>
    </row>
    <row r="4589" spans="1:2" x14ac:dyDescent="0.2">
      <c r="A4589" s="1" t="s">
        <v>5280</v>
      </c>
      <c r="B4589" s="1" t="str">
        <f ca="1">IFERROR(__xludf.DUMFUNCTION("GOOGLETRANSLATE(A4733,""id"",""en"")"),"pertalite just now it's rare already empty pom server   just registration")</f>
        <v>pertalite just now it's rare already empty pom server   just registration</v>
      </c>
    </row>
    <row r="4590" spans="1:2" x14ac:dyDescent="0.2">
      <c r="A4590" s="1" t="s">
        <v>531</v>
      </c>
      <c r="B4590" s="1" t="str">
        <f ca="1">IFERROR(__xludf.DUMFUNCTION("GOOGLETRANSLATE(A4734,""id"",""en"")"),"dear please return premium gpp wes ron that comes out not swollen set premium mandatory for the transport wheels of the pertalite road just gpp below first do not use strange applications ttd salesman around")</f>
        <v>dear please return premium gpp wes ron that comes out not swollen set premium mandatory for the transport wheels of the pertalite road just gpp below first do not use strange applications ttd salesman around</v>
      </c>
    </row>
    <row r="4591" spans="1:2" x14ac:dyDescent="0.2">
      <c r="A4591" s="1" t="s">
        <v>1610</v>
      </c>
      <c r="B4591" s="1" t="str">
        <f ca="1">IFERROR(__xludf.DUMFUNCTION("GOOGLETRANSLATE(A4735,""id"",""en"")")," Cool Wins  EnergyToday EnergyTodayid")</f>
        <v xml:space="preserve"> Cool Wins  EnergyToday EnergyTodayid</v>
      </c>
    </row>
    <row r="4592" spans="1:2" x14ac:dyDescent="0.2">
      <c r="A4592" s="1" t="s">
        <v>5281</v>
      </c>
      <c r="B4592" s="1" t="str">
        <f ca="1">IFERROR(__xludf.DUMFUNCTION("GOOGLETRANSLATE(A4736,""id"",""en"")"),"Really hate West Sumatra's commands who must use   Commissioner Sichina came Ahok")</f>
        <v>Really hate West Sumatra's commands who must use   Commissioner Sichina came Ahok</v>
      </c>
    </row>
    <row r="4593" spans="1:2" x14ac:dyDescent="0.2">
      <c r="A4593" s="1" t="s">
        <v>5282</v>
      </c>
      <c r="B4593" s="1" t="str">
        <f ca="1">IFERROR(__xludf.DUMFUNCTION("GOOGLETRANSLATE(A4737,""id"",""en"")"),"wise trial city for   to buy pertalite mjd wrong steps for the right Salar subsidy")</f>
        <v>wise trial city for   to buy pertalite mjd wrong steps for the right Salar subsidy</v>
      </c>
    </row>
    <row r="4594" spans="1:2" x14ac:dyDescent="0.2">
      <c r="A4594" s="1" t="s">
        <v>1611</v>
      </c>
      <c r="B4594" s="1" t="str">
        <f ca="1">IFERROR(__xludf.DUMFUNCTION("GOOGLETRANSLATE(A4738,""id"",""en"")")," is strong")</f>
        <v xml:space="preserve"> is strong</v>
      </c>
    </row>
    <row r="4595" spans="1:2" x14ac:dyDescent="0.2">
      <c r="A4595" s="1" t="s">
        <v>5283</v>
      </c>
      <c r="B4595" s="1" t="str">
        <f ca="1">IFERROR(__xludf.DUMFUNCTION("GOOGLETRANSLATE(A4739,""id"",""en"")"),"if you get a subsidy, you don't have to get out of the Effort of the  account.")</f>
        <v>if you get a subsidy, you don't have to get out of the Effort of the  account.</v>
      </c>
    </row>
    <row r="4596" spans="1:2" x14ac:dyDescent="0.2">
      <c r="A4596" s="1" t="s">
        <v>1612</v>
      </c>
      <c r="B4596" s="1" t="str">
        <f ca="1">IFERROR(__xludf.DUMFUNCTION("GOOGLETRANSLATE(A4740,""id"",""en"")"),"Hundred workers of PT  Sindonews's Jabat House Complex")</f>
        <v>Hundred workers of PT  Sindonews's Jabat House Complex</v>
      </c>
    </row>
    <row r="4597" spans="1:2" x14ac:dyDescent="0.2">
      <c r="A4597" s="1" t="s">
        <v>1613</v>
      </c>
      <c r="B4597" s="1" t="str">
        <f ca="1">IFERROR(__xludf.DUMFUNCTION("GOOGLETRANSLATE(A4741,""id"",""en"")"),"Image of the LIST Phase for Consumers Solar Subsidies  EnergyToday EnergyTodayid")</f>
        <v>Image of the LIST Phase for Consumers Solar Subsidies  EnergyToday EnergyTodayid</v>
      </c>
    </row>
    <row r="4598" spans="1:2" x14ac:dyDescent="0.2">
      <c r="A4598" s="1" t="s">
        <v>5284</v>
      </c>
      <c r="B4598" s="1" t="str">
        <f ca="1">IFERROR(__xludf.DUMFUNCTION("GOOGLETRANSLATE(A4742,""id"",""en"")"),"okay, use   data for pertralite salang where the world fuel price is not overlapping data manipulation for the elderly ready alternative")</f>
        <v>okay, use   data for pertralite salang where the world fuel price is not overlapping data manipulation for the elderly ready alternative</v>
      </c>
    </row>
    <row r="4599" spans="1:2" x14ac:dyDescent="0.2">
      <c r="A4599" s="1" t="s">
        <v>5285</v>
      </c>
      <c r="B4599" s="1" t="str">
        <f ca="1">IFERROR(__xludf.DUMFUNCTION("GOOGLETRANSLATE(A4743,""id"",""en"")"),"trial PT  Patra Niaga Service Buy Pertalite Solar   Energy Energy EnergyTodayid")</f>
        <v>trial PT  Patra Niaga Service Buy Pertalite Solar   Energy Energy EnergyTodayid</v>
      </c>
    </row>
    <row r="4600" spans="1:2" x14ac:dyDescent="0.2">
      <c r="A4600" s="1" t="s">
        <v>5286</v>
      </c>
      <c r="B4600" s="1" t="str">
        <f ca="1">IFERROR(__xludf.DUMFUNCTION("GOOGLETRANSLATE(A4744,""id"",""en"")")," Pertamax Bright Gas Giveaway rjbt ")</f>
        <v xml:space="preserve"> Pertamax Bright Gas Giveaway rjbt </v>
      </c>
    </row>
    <row r="4601" spans="1:2" x14ac:dyDescent="0.2">
      <c r="A4601" s="1" t="s">
        <v>5287</v>
      </c>
      <c r="B4601" s="1" t="str">
        <f ca="1">IFERROR(__xludf.DUMFUNCTION("GOOGLETRANSLATE(A4745,""id"",""en"")"),"Innovation, I have to pay Cashless, just open digitalization paths, , the contents of the gasoline, will make the ecommerce, buy gas, and which direction")</f>
        <v>Innovation, I have to pay Cashless, just open digitalization paths, , the contents of the gasoline, will make the ecommerce, buy gas, and which direction</v>
      </c>
    </row>
    <row r="4602" spans="1:2" x14ac:dyDescent="0.2">
      <c r="A4602" s="1" t="s">
        <v>1614</v>
      </c>
      <c r="B4602" s="1" t="str">
        <f ca="1">IFERROR(__xludf.DUMFUNCTION("GOOGLETRANSLATE(A4746,""id"",""en"")")," Loss Demanding Fuel Subsidy Orders Which Real Salang Salang Mobile Mobile Tp Do Do Do Nganggo Pertalite")</f>
        <v xml:space="preserve"> Loss Demanding Fuel Subsidy Orders Which Real Salang Salang Mobile Mobile Tp Do Do Do Nganggo Pertalite</v>
      </c>
    </row>
    <row r="4603" spans="1:2" x14ac:dyDescent="0.2">
      <c r="A4603" s="1" t="s">
        <v>5288</v>
      </c>
      <c r="B4603" s="1" t="str">
        <f ca="1">IFERROR(__xludf.DUMFUNCTION("GOOGLETRANSLATE(A4747,""id"",""en"")"),"West Sumatra, South Kalimantan, North Sulawesi, West Java, West Java, Yogyakarta, the trial area for selling solar subsidies, pertalite, the application of   Energy Energy EnergyTodayid")</f>
        <v>West Sumatra, South Kalimantan, North Sulawesi, West Java, West Java, Yogyakarta, the trial area for selling solar subsidies, pertalite, the application of   Energy Energy EnergyTodayid</v>
      </c>
    </row>
    <row r="4604" spans="1:2" x14ac:dyDescent="0.2">
      <c r="A4604" s="1" t="s">
        <v>5289</v>
      </c>
      <c r="B4604" s="1" t="str">
        <f ca="1">IFERROR(__xludf.DUMFUNCTION("GOOGLETRANSLATE(A4748,""id"",""en"")"),"  Linkaja BUMN")</f>
        <v xml:space="preserve">  Linkaja BUMN</v>
      </c>
    </row>
    <row r="4605" spans="1:2" x14ac:dyDescent="0.2">
      <c r="A4605" s="1" t="s">
        <v>1615</v>
      </c>
      <c r="B4605" s="1" t="str">
        <f ca="1">IFERROR(__xludf.DUMFUNCTION("GOOGLETRANSLATE(A4749,""id"",""en"")"),"Shell members who use the apk fortunately gathering points to buy oil etc.  so full of buying it doesn't get it wkwkwkkwkwkkkwwk")</f>
        <v>Shell members who use the apk fortunately gathering points to buy oil etc.  so full of buying it doesn't get it wkwkwkkwkwkkkwwk</v>
      </c>
    </row>
    <row r="4606" spans="1:2" x14ac:dyDescent="0.2">
      <c r="A4606" s="1" t="s">
        <v>1616</v>
      </c>
      <c r="B4606" s="1" t="str">
        <f ca="1">IFERROR(__xludf.DUMFUNCTION("GOOGLETRANSLATE(A4750,""id"",""en"")"),"Bikim Ginian mending  to make a wise appeal to the lower gas station paying for non -cash like an ATM Qris Ewallet ATM, the big city is okay, I understand the need for the internet at least qris ewallet lahh")</f>
        <v>Bikim Ginian mending  to make a wise appeal to the lower gas station paying for non -cash like an ATM Qris Ewallet ATM, the big city is okay, I understand the need for the internet at least qris ewallet lahh</v>
      </c>
    </row>
    <row r="4607" spans="1:2" x14ac:dyDescent="0.2">
      <c r="A4607" s="1" t="s">
        <v>1617</v>
      </c>
      <c r="B4607" s="1" t="str">
        <f ca="1">IFERROR(__xludf.DUMFUNCTION("GOOGLETRANSLATE(A4751,""id"",""en"")"),"Congratulation Successfully entered the ranking of the Worlds Strongest Oil and Gas Brands Top  Energy Energy EnergyTodayid")</f>
        <v>Congratulation Successfully entered the ranking of the Worlds Strongest Oil and Gas Brands Top  Energy Energy EnergyTodayid</v>
      </c>
    </row>
    <row r="4608" spans="1:2" x14ac:dyDescent="0.2">
      <c r="A4608" s="1" t="s">
        <v>1618</v>
      </c>
      <c r="B4608" s="1" t="str">
        <f ca="1">IFERROR(__xludf.DUMFUNCTION("GOOGLETRANSLATE(A4752,""id"",""en"")")," Langgan List Process")</f>
        <v xml:space="preserve"> Langgan List Process</v>
      </c>
    </row>
    <row r="4609" spans="1:2" x14ac:dyDescent="0.2">
      <c r="A4609" s="1" t="s">
        <v>5290</v>
      </c>
      <c r="B4609" s="1" t="str">
        <f ca="1">IFERROR(__xludf.DUMFUNCTION("GOOGLETRANSLATE(A4753,""id"",""en"")"),"  knows buying diesel ditkracking via the private nature number of BTW  Business Unit that uses RFID buying special fuel for coco gas stations tap in according to the data vehicle data balance")</f>
        <v xml:space="preserve">  knows buying diesel ditkracking via the private nature number of BTW  Business Unit that uses RFID buying special fuel for coco gas stations tap in according to the data vehicle data balance</v>
      </c>
    </row>
    <row r="4610" spans="1:2" x14ac:dyDescent="0.2">
      <c r="A4610" s="1" t="s">
        <v>5291</v>
      </c>
      <c r="B4610" s="1" t="str">
        <f ca="1">IFERROR(__xludf.DUMFUNCTION("GOOGLETRANSLATE(A4754,""id"",""en"")"),"EDC engine that Kaga Sosoan Kudu  product development")</f>
        <v>EDC engine that Kaga Sosoan Kudu  product development</v>
      </c>
    </row>
    <row r="4611" spans="1:2" x14ac:dyDescent="0.2">
      <c r="A4611" s="1" t="s">
        <v>1619</v>
      </c>
      <c r="B4611" s="1" t="str">
        <f ca="1">IFERROR(__xludf.DUMFUNCTION("GOOGLETRANSLATE(A4755,""id"",""en"")"),"fortunately I use shell using wasteful  wkwk")</f>
        <v>fortunately I use shell using wasteful  wkwk</v>
      </c>
    </row>
    <row r="4612" spans="1:2" x14ac:dyDescent="0.2">
      <c r="A4612" s="1" t="s">
        <v>1620</v>
      </c>
      <c r="B4612" s="1" t="str">
        <f ca="1">IFERROR(__xludf.DUMFUNCTION("GOOGLETRANSLATE(A4756,""id"",""en"")"),"Achieve good achievements to win the hard work of   EnergyToday EnergyTodayid snacks")</f>
        <v>Achieve good achievements to win the hard work of   EnergyToday EnergyTodayid snacks</v>
      </c>
    </row>
    <row r="4613" spans="1:2" x14ac:dyDescent="0.2">
      <c r="A4613" s="1" t="s">
        <v>1621</v>
      </c>
      <c r="B4613" s="1" t="str">
        <f ca="1">IFERROR(__xludf.DUMFUNCTION("GOOGLETRANSLATE(A4757,""id"",""en"")"),"accept  prices")</f>
        <v>accept  prices</v>
      </c>
    </row>
    <row r="4614" spans="1:2" x14ac:dyDescent="0.2">
      <c r="A4614" s="1" t="s">
        <v>1622</v>
      </c>
      <c r="B4614" s="1" t="str">
        <f ca="1">IFERROR(__xludf.DUMFUNCTION("GOOGLETRANSLATE(A4758,""id"",""en"")"),"Tata Consumer List of Society of  Energy EnergyTodayid  Solar Rights")</f>
        <v>Tata Consumer List of Society of  Energy EnergyTodayid  Solar Rights</v>
      </c>
    </row>
    <row r="4615" spans="1:2" x14ac:dyDescent="0.2">
      <c r="A4615" s="1" t="s">
        <v>532</v>
      </c>
      <c r="B4615" s="1" t="str">
        <f ca="1">IFERROR(__xludf.DUMFUNCTION("GOOGLETRANSLATE(A4759,""id"",""en"")"),"buy bengsin just make the application of the pan ek ang jiang")</f>
        <v>buy bengsin just make the application of the pan ek ang jiang</v>
      </c>
    </row>
    <row r="4616" spans="1:2" x14ac:dyDescent="0.2">
      <c r="A4616" s="1" t="s">
        <v>1623</v>
      </c>
      <c r="B4616" s="1" t="str">
        <f ca="1">IFERROR(__xludf.DUMFUNCTION("GOOGLETRANSLATE(A4760,""id"",""en"")"),"PT  Patra Niaga Trial Serving Selling BBM Subsidies Types of Consumer Solar PERTALITE to List  EnergyToday EnergyTodayid")</f>
        <v>PT  Patra Niaga Trial Serving Selling BBM Subsidies Types of Consumer Solar PERTALITE to List  EnergyToday EnergyTodayid</v>
      </c>
    </row>
    <row r="4617" spans="1:2" x14ac:dyDescent="0.2">
      <c r="A4617" s="1" t="s">
        <v>1624</v>
      </c>
      <c r="B4617" s="1" t="str">
        <f ca="1">IFERROR(__xludf.DUMFUNCTION("GOOGLETRANSLATE(A4761,""id"",""en"")")," dog bastard pigs Aimg deui meuli partalite teu hp aing wifi only fuck")</f>
        <v xml:space="preserve"> dog bastard pigs Aimg deui meuli partalite teu hp aing wifi only fuck</v>
      </c>
    </row>
    <row r="4618" spans="1:2" x14ac:dyDescent="0.2">
      <c r="A4618" s="1" t="s">
        <v>5292</v>
      </c>
      <c r="B4618" s="1" t="str">
        <f ca="1">IFERROR(__xludf.DUMFUNCTION("GOOGLETRANSLATE(A4762,""id"",""en"")"),"Society List of     Website July  Energytoday EnergyTodayid")</f>
        <v>Society List of     Website July  Energytoday EnergyTodayid</v>
      </c>
    </row>
    <row r="4619" spans="1:2" x14ac:dyDescent="0.2">
      <c r="A4619" s="1" t="s">
        <v>533</v>
      </c>
      <c r="B4619" s="1" t="str">
        <f ca="1">IFERROR(__xludf.DUMFUNCTION("GOOGLETRANSLATE(A4763,""id"",""en"")"),"Ngusung grain Gae Pertamax Turbo Wae")</f>
        <v>Ngusung grain Gae Pertamax Turbo Wae</v>
      </c>
    </row>
    <row r="4620" spans="1:2" x14ac:dyDescent="0.2">
      <c r="A4620" s="1" t="s">
        <v>1625</v>
      </c>
      <c r="B4620" s="1" t="str">
        <f ca="1">IFERROR(__xludf.DUMFUNCTION("GOOGLETRANSLATE(A4764,""id"",""en"")"),"Congratulations  The result of winning the position of Worlds Strongest Oil and Gas Brands  EnergyToday EnergyTodayid")</f>
        <v>Congratulations  The result of winning the position of Worlds Strongest Oil and Gas Brands  EnergyToday EnergyTodayid</v>
      </c>
    </row>
    <row r="4621" spans="1:2" x14ac:dyDescent="0.2">
      <c r="A4621" s="1" t="s">
        <v>5293</v>
      </c>
      <c r="B4621" s="1" t="str">
        <f ca="1">IFERROR(__xludf.DUMFUNCTION("GOOGLETRANSLATE(A4766,""id"",""en"")")," is tight buying BBM Pertalite Solar Subsidies  Application")</f>
        <v xml:space="preserve"> is tight buying BBM Pertalite Solar Subsidies  Application</v>
      </c>
    </row>
    <row r="4622" spans="1:2" x14ac:dyDescent="0.2">
      <c r="A4622" s="1" t="s">
        <v>1626</v>
      </c>
      <c r="B4622" s="1" t="str">
        <f ca="1">IFERROR(__xludf.DUMFUNCTION("GOOGLETRANSLATE(A4767,""id"",""en"")"),"Achievement Achievement Proud to achieve  Entering the Top Worlds Strongest Oil and Gas Brand  Energy Energy EnergyTodayid ranking")</f>
        <v>Achievement Achievement Proud to achieve  Entering the Top Worlds Strongest Oil and Gas Brand  Energy Energy EnergyTodayid ranking</v>
      </c>
    </row>
    <row r="4623" spans="1:2" x14ac:dyDescent="0.2">
      <c r="A4623" s="1" t="s">
        <v>1627</v>
      </c>
      <c r="B4623" s="1" t="str">
        <f ca="1">IFERROR(__xludf.DUMFUNCTION("GOOGLETRANSLATE(A4768,""id"",""en"")"),"I'm weird to see  released the app, wkwk")</f>
        <v>I'm weird to see  released the app, wkwk</v>
      </c>
    </row>
    <row r="4624" spans="1:2" x14ac:dyDescent="0.2">
      <c r="A4624" s="1" t="s">
        <v>534</v>
      </c>
      <c r="B4624" s="1" t="str">
        <f ca="1">IFERROR(__xludf.DUMFUNCTION("GOOGLETRANSLATE(A4769,""id"",""en"")"),"use the day liter is not strong Peka Pertamax Buk")</f>
        <v>use the day liter is not strong Peka Pertamax Buk</v>
      </c>
    </row>
    <row r="4625" spans="1:2" x14ac:dyDescent="0.2">
      <c r="A4625" s="1" t="s">
        <v>1628</v>
      </c>
      <c r="B4625" s="1" t="str">
        <f ca="1">IFERROR(__xludf.DUMFUNCTION("GOOGLETRANSLATE(A4770,""id"",""en"")"),"Fill the gasoline using the  application wkwkw hilarious times if the cashback is like that, let's fill in your gasoline Monday promo buy get a cashback promo Tuesday")</f>
        <v>Fill the gasoline using the  application wkwkw hilarious times if the cashback is like that, let's fill in your gasoline Monday promo buy get a cashback promo Tuesday</v>
      </c>
    </row>
    <row r="4626" spans="1:2" x14ac:dyDescent="0.2">
      <c r="A4626" s="1" t="s">
        <v>5294</v>
      </c>
      <c r="B4626" s="1" t="str">
        <f ca="1">IFERROR(__xludf.DUMFUNCTION("GOOGLETRANSLATE(A4771,""id"",""en"")"),"Let's take part in the buying list of the Solar Subsidized Pertalite   Application    Energytoday EnergyTodayid")</f>
        <v>Let's take part in the buying list of the Solar Subsidized Pertalite   Application    Energytoday EnergyTodayid</v>
      </c>
    </row>
    <row r="4627" spans="1:2" x14ac:dyDescent="0.2">
      <c r="A4627" s="1" t="s">
        <v>1131</v>
      </c>
      <c r="B4627" s="1" t="str">
        <f ca="1">IFERROR(__xludf.DUMFUNCTION("GOOGLETRANSLATE(A4772,""id"",""en"")")," Patra Niaga Testing Pertalite Solar Trial for List")</f>
        <v xml:space="preserve"> Patra Niaga Testing Pertalite Solar Trial for List</v>
      </c>
    </row>
    <row r="4628" spans="1:2" x14ac:dyDescent="0.2">
      <c r="A4628" s="1" t="s">
        <v>1629</v>
      </c>
      <c r="B4628" s="1" t="str">
        <f ca="1">IFERROR(__xludf.DUMFUNCTION("GOOGLETRANSLATE(A4773,""id"",""en"")"),"Emotional Functional Benefits of  Emotional Entering Top Strongest Oil Amp Gas Brand Brand Brand Brand")</f>
        <v>Emotional Functional Benefits of  Emotional Entering Top Strongest Oil Amp Gas Brand Brand Brand Brand</v>
      </c>
    </row>
    <row r="4629" spans="1:2" x14ac:dyDescent="0.2">
      <c r="A4629" s="1" t="s">
        <v>1630</v>
      </c>
      <c r="B4629" s="1" t="str">
        <f ca="1">IFERROR(__xludf.DUMFUNCTION("GOOGLETRANSLATE(A4774,""id"",""en"")"),"Already tried  Patra Niaga service to sell a subsidy letter from the consumer Pertalite list of  EnergyToday energyTodayid")</f>
        <v>Already tried  Patra Niaga service to sell a subsidy letter from the consumer Pertalite list of  EnergyToday energyTodayid</v>
      </c>
    </row>
    <row r="4630" spans="1:2" x14ac:dyDescent="0.2">
      <c r="A4630" s="1" t="s">
        <v>535</v>
      </c>
      <c r="B4630" s="1" t="str">
        <f ca="1">IFERROR(__xludf.DUMFUNCTION("GOOGLETRANSLATE(A4775,""id"",""en"")"),"Tell")</f>
        <v>Tell</v>
      </c>
    </row>
    <row r="4631" spans="1:2" x14ac:dyDescent="0.2">
      <c r="A4631" s="1" t="s">
        <v>5295</v>
      </c>
      <c r="B4631" s="1" t="str">
        <f ca="1">IFERROR(__xludf.DUMFUNCTION("GOOGLETRANSLATE(A4776,""id"",""en"")"),"List of Selling Areas Pertalite Solar Subsidies   Energy Energy EnergyTodayid")</f>
        <v>List of Selling Areas Pertalite Solar Subsidies   Energy Energy EnergyTodayid</v>
      </c>
    </row>
    <row r="4632" spans="1:2" x14ac:dyDescent="0.2">
      <c r="A4632" s="1" t="s">
        <v>1631</v>
      </c>
      <c r="B4632" s="1" t="str">
        <f ca="1">IFERROR(__xludf.DUMFUNCTION("GOOGLETRANSLATE(A4777,""id"",""en"")"),"the results of the hard work of the red abstain the results of good achievement results in   EnergyToday EnergyTodayid")</f>
        <v>the results of the hard work of the red abstain the results of good achievement results in   EnergyToday EnergyTodayid</v>
      </c>
    </row>
    <row r="4633" spans="1:2" x14ac:dyDescent="0.2">
      <c r="A4633" s="1" t="s">
        <v>1131</v>
      </c>
      <c r="B4633" s="1" t="str">
        <f ca="1">IFERROR(__xludf.DUMFUNCTION("GOOGLETRANSLATE(A4778,""id"",""en"")")," Patra Niaga Testing Pertalite Solar Trial for List")</f>
        <v xml:space="preserve"> Patra Niaga Testing Pertalite Solar Trial for List</v>
      </c>
    </row>
    <row r="4634" spans="1:2" x14ac:dyDescent="0.2">
      <c r="A4634" s="1" t="s">
        <v>1629</v>
      </c>
      <c r="B4634" s="1" t="str">
        <f ca="1">IFERROR(__xludf.DUMFUNCTION("GOOGLETRANSLATE(A4779,""id"",""en"")"),"Emotional Functional Benefits of  Emotional Entering Top Strongest Oil Amp Gas Brand Brand Brand Brand")</f>
        <v>Emotional Functional Benefits of  Emotional Entering Top Strongest Oil Amp Gas Brand Brand Brand Brand</v>
      </c>
    </row>
    <row r="4635" spans="1:2" x14ac:dyDescent="0.2">
      <c r="A4635" s="1" t="s">
        <v>1632</v>
      </c>
      <c r="B4635" s="1" t="str">
        <f ca="1">IFERROR(__xludf.DUMFUNCTION("GOOGLETRANSLATE(A4780,""id"",""en"")"),"Achievements in   EnergyToday EnergyTodayid")</f>
        <v>Achievements in   EnergyToday EnergyTodayid</v>
      </c>
    </row>
    <row r="4636" spans="1:2" x14ac:dyDescent="0.2">
      <c r="A4636" s="1" t="s">
        <v>1633</v>
      </c>
      <c r="B4636" s="1" t="str">
        <f ca="1">IFERROR(__xludf.DUMFUNCTION("GOOGLETRANSLATE(A4781,""id"",""en"")")," tired")</f>
        <v xml:space="preserve"> tired</v>
      </c>
    </row>
    <row r="4637" spans="1:2" x14ac:dyDescent="0.2">
      <c r="A4637" s="1" t="s">
        <v>1634</v>
      </c>
      <c r="B4637" s="1" t="str">
        <f ca="1">IFERROR(__xludf.DUMFUNCTION("GOOGLETRANSLATE(A4782,""id"",""en"")"),"Tata Consumer List of Solar Subsidies  Energy Energy EnergyTodayid")</f>
        <v>Tata Consumer List of Solar Subsidies  Energy Energy EnergyTodayid</v>
      </c>
    </row>
    <row r="4638" spans="1:2" x14ac:dyDescent="0.2">
      <c r="A4638" s="1" t="s">
        <v>1635</v>
      </c>
      <c r="B4638" s="1" t="str">
        <f ca="1">IFERROR(__xludf.DUMFUNCTION("GOOGLETRANSLATE(A4783,""id"",""en"")"),"Depok just  gas stations that can't pay a strange debit, then can transfer the account number, ckckck")</f>
        <v>Depok just  gas stations that can't pay a strange debit, then can transfer the account number, ckckck</v>
      </c>
    </row>
    <row r="4639" spans="1:2" x14ac:dyDescent="0.2">
      <c r="A4639" s="1" t="s">
        <v>5296</v>
      </c>
      <c r="B4639" s="1" t="str">
        <f ca="1">IFERROR(__xludf.DUMFUNCTION("GOOGLETRANSLATE(A4784,""id"",""en"")"),"Original if you make  app, confused, the contents of the gasoline install the memory space, it's not the rest of the saben to delete the junk file, it's really complicated")</f>
        <v>Original if you make  app, confused, the contents of the gasoline install the memory space, it's not the rest of the saben to delete the junk file, it's really complicated</v>
      </c>
    </row>
    <row r="4640" spans="1:2" x14ac:dyDescent="0.2">
      <c r="A4640" s="1" t="s">
        <v>5297</v>
      </c>
      <c r="B4640" s="1" t="str">
        <f ca="1">IFERROR(__xludf.DUMFUNCTION("GOOGLETRANSLATE(A4785,""id"",""en"")"),"Slowly the world of Pasuk Digital Era Therapy Application of Indonesia One of the uses of the   application to buy BBM Cares Care Applications to Buy Cooking Oil")</f>
        <v>Slowly the world of Pasuk Digital Era Therapy Application of Indonesia One of the uses of the   application to buy BBM Cares Care Applications to Buy Cooking Oil</v>
      </c>
    </row>
    <row r="4641" spans="1:2" x14ac:dyDescent="0.2">
      <c r="A4641" s="1" t="s">
        <v>1636</v>
      </c>
      <c r="B4641" s="1" t="str">
        <f ca="1">IFERROR(__xludf.DUMFUNCTION("GOOGLETRANSLATE(A4786,""id"",""en"")")," Loss Transjakarta Bus Museum Iron Rongsok Tanah Cengkareng Hospital SW Problem Tai Tai Tai Loe")</f>
        <v xml:space="preserve"> Loss Transjakarta Bus Museum Iron Rongsok Tanah Cengkareng Hospital SW Problem Tai Tai Tai Loe</v>
      </c>
    </row>
    <row r="4642" spans="1:2" x14ac:dyDescent="0.2">
      <c r="A4642" s="1" t="s">
        <v>1637</v>
      </c>
      <c r="B4642" s="1" t="str">
        <f ca="1">IFERROR(__xludf.DUMFUNCTION("GOOGLETRANSLATE(A4787,""id"",""en"")"),"Support the steps of PT  Botanica trial service services selling Pertalite Solar for consumers List of  EnergyToday EnergyTodayid")</f>
        <v>Support the steps of PT  Botanica trial service services selling Pertalite Solar for consumers List of  EnergyToday EnergyTodayid</v>
      </c>
    </row>
    <row r="4643" spans="1:2" x14ac:dyDescent="0.2">
      <c r="A4643" s="1" t="s">
        <v>1131</v>
      </c>
      <c r="B4643" s="1" t="str">
        <f ca="1">IFERROR(__xludf.DUMFUNCTION("GOOGLETRANSLATE(A4788,""id"",""en"")")," Patra Niaga Testing Pertalite Solar Trial for List")</f>
        <v xml:space="preserve"> Patra Niaga Testing Pertalite Solar Trial for List</v>
      </c>
    </row>
    <row r="4644" spans="1:2" x14ac:dyDescent="0.2">
      <c r="A4644" s="1" t="s">
        <v>536</v>
      </c>
      <c r="B4644" s="1" t="str">
        <f ca="1">IFERROR(__xludf.DUMFUNCTION("GOOGLETRANSLATE(A4789,""id"",""en"")"),"read this to be aware")</f>
        <v>read this to be aware</v>
      </c>
    </row>
    <row r="4645" spans="1:2" x14ac:dyDescent="0.2">
      <c r="A4645" s="1" t="s">
        <v>1638</v>
      </c>
      <c r="B4645" s="1" t="str">
        <f ca="1">IFERROR(__xludf.DUMFUNCTION("GOOGLETRANSLATE(A4790,""id"",""en"")"),"zinc sometimes ora nduwe kouta ndadak hostpot mas sek fit hostpot ono the frequency of nets nyamber bledoss SAK gas station mara ovt wae gur meh filling gasoline taek ncen ")</f>
        <v xml:space="preserve">zinc sometimes ora nduwe kouta ndadak hostpot mas sek fit hostpot ono the frequency of nets nyamber bledoss SAK gas station mara ovt wae gur meh filling gasoline taek ncen </v>
      </c>
    </row>
    <row r="4646" spans="1:2" x14ac:dyDescent="0.2">
      <c r="A4646" s="1" t="s">
        <v>1629</v>
      </c>
      <c r="B4646" s="1" t="str">
        <f ca="1">IFERROR(__xludf.DUMFUNCTION("GOOGLETRANSLATE(A4791,""id"",""en"")"),"Emotional Functional Benefits of  Emotional Entering Top Strongest Oil Amp Gas Brand Brand Brand Brand")</f>
        <v>Emotional Functional Benefits of  Emotional Entering Top Strongest Oil Amp Gas Brand Brand Brand Brand</v>
      </c>
    </row>
    <row r="4647" spans="1:2" x14ac:dyDescent="0.2">
      <c r="A4647" s="1" t="s">
        <v>1639</v>
      </c>
      <c r="B4647" s="1" t="str">
        <f ca="1">IFERROR(__xludf.DUMFUNCTION("GOOGLETRANSLATE(A4792,""id"",""en"")"),"no cellphone lowbat no kuta don't don't tactic  applications do not sell")</f>
        <v>no cellphone lowbat no kuta don't don't tactic  applications do not sell</v>
      </c>
    </row>
    <row r="4648" spans="1:2" x14ac:dyDescent="0.2">
      <c r="A4648" s="1" t="s">
        <v>5298</v>
      </c>
      <c r="B4648" s="1" t="str">
        <f ca="1">IFERROR(__xludf.DUMFUNCTION("GOOGLETRANSLATE(A4793,""id"",""en"")"),"Hello, hold the cellphone in front of the pump, the contents, don't leave the cellphone, open , afraid")</f>
        <v>Hello, hold the cellphone in front of the pump, the contents, don't leave the cellphone, open , afraid</v>
      </c>
    </row>
    <row r="4649" spans="1:2" x14ac:dyDescent="0.2">
      <c r="A4649" s="1" t="s">
        <v>1640</v>
      </c>
      <c r="B4649" s="1" t="str">
        <f ca="1">IFERROR(__xludf.DUMFUNCTION("GOOGLETRANSLATE(A4794,""id"",""en"")"),"play lo a fuel price of Ron Malaysia Rp.")</f>
        <v>play lo a fuel price of Ron Malaysia Rp.</v>
      </c>
    </row>
    <row r="4650" spans="1:2" x14ac:dyDescent="0.2">
      <c r="A4650" s="1" t="s">
        <v>1641</v>
      </c>
      <c r="B4650" s="1" t="str">
        <f ca="1">IFERROR(__xludf.DUMFUNCTION("GOOGLETRANSLATE(A4795,""id"",""en"")"),"MU  is aimed at the aspect of the regional internet net aspects in the difficult net of the root river inhu")</f>
        <v>MU  is aimed at the aspect of the regional internet net aspects in the difficult net of the root river inhu</v>
      </c>
    </row>
    <row r="4651" spans="1:2" x14ac:dyDescent="0.2">
      <c r="A4651" s="1" t="s">
        <v>1642</v>
      </c>
      <c r="B4651" s="1" t="str">
        <f ca="1">IFERROR(__xludf.DUMFUNCTION("GOOGLETRANSLATE(A4796,""id"",""en"")"),"Take care of Cashless,  Bomb Flat is a gas station")</f>
        <v>Take care of Cashless,  Bomb Flat is a gas station</v>
      </c>
    </row>
    <row r="4652" spans="1:2" x14ac:dyDescent="0.2">
      <c r="A4652" s="1" t="s">
        <v>1131</v>
      </c>
      <c r="B4652" s="1" t="str">
        <f ca="1">IFERROR(__xludf.DUMFUNCTION("GOOGLETRANSLATE(A4797,""id"",""en"")")," Patra Niaga Testing Pertalite Solar Trial for List")</f>
        <v xml:space="preserve"> Patra Niaga Testing Pertalite Solar Trial for List</v>
      </c>
    </row>
    <row r="4653" spans="1:2" x14ac:dyDescent="0.2">
      <c r="A4653" s="1" t="s">
        <v>1629</v>
      </c>
      <c r="B4653" s="1" t="str">
        <f ca="1">IFERROR(__xludf.DUMFUNCTION("GOOGLETRANSLATE(A4798,""id"",""en"")"),"Emotional Functional Benefits of  Emotional Entering Top Strongest Oil Amp Gas Brand Brand Brand Brand")</f>
        <v>Emotional Functional Benefits of  Emotional Entering Top Strongest Oil Amp Gas Brand Brand Brand Brand</v>
      </c>
    </row>
    <row r="4654" spans="1:2" x14ac:dyDescent="0.2">
      <c r="A4654" s="1" t="s">
        <v>5299</v>
      </c>
      <c r="B4654" s="1" t="str">
        <f ca="1">IFERROR(__xludf.DUMFUNCTION("GOOGLETRANSLATE(A4799,""id"",""en"")"),"wkwkwkkw just review the plan to buy pertalite using   just a gas station also appeal for prohibiting a hadeh cellphone, it's complicated and buy gasoline, I have to install the app.")</f>
        <v>wkwkwkkw just review the plan to buy pertalite using   just a gas station also appeal for prohibiting a hadeh cellphone, it's complicated and buy gasoline, I have to install the app.</v>
      </c>
    </row>
    <row r="4655" spans="1:2" x14ac:dyDescent="0.2">
      <c r="A4655" s="1" t="s">
        <v>1643</v>
      </c>
      <c r="B4655" s="1" t="str">
        <f ca="1">IFERROR(__xludf.DUMFUNCTION("GOOGLETRANSLATE(A4800,""id"",""en"")"),"Pea buzzer stance doesn't lick not eating hurt, you visit it, you can go to the triang taik, too, hahahaha, you pretended to be happy")</f>
        <v>Pea buzzer stance doesn't lick not eating hurt, you visit it, you can go to the triang taik, too, hahahaha, you pretended to be happy</v>
      </c>
    </row>
    <row r="4656" spans="1:2" x14ac:dyDescent="0.2">
      <c r="A4656" s="1" t="s">
        <v>1644</v>
      </c>
      <c r="B4656" s="1" t="str">
        <f ca="1">IFERROR(__xludf.DUMFUNCTION("GOOGLETRANSLATE(A4801,""id"",""en"")"),"This is the personal realm, if the level of  is not the order")</f>
        <v>This is the personal realm, if the level of  is not the order</v>
      </c>
    </row>
    <row r="4657" spans="1:2" x14ac:dyDescent="0.2">
      <c r="A4657" s="1" t="s">
        <v>537</v>
      </c>
      <c r="B4657" s="1" t="str">
        <f ca="1">IFERROR(__xludf.DUMFUNCTION("GOOGLETRANSLATE(A4803,""id"",""en"")"),"trs points can exchange umbrella cups")</f>
        <v>trs points can exchange umbrella cups</v>
      </c>
    </row>
    <row r="4658" spans="1:2" x14ac:dyDescent="0.2">
      <c r="A4658" s="1" t="s">
        <v>1131</v>
      </c>
      <c r="B4658" s="1" t="str">
        <f ca="1">IFERROR(__xludf.DUMFUNCTION("GOOGLETRANSLATE(A4804,""id"",""en"")")," Patra Niaga Testing Pertalite Solar Trial for List")</f>
        <v xml:space="preserve"> Patra Niaga Testing Pertalite Solar Trial for List</v>
      </c>
    </row>
    <row r="4659" spans="1:2" x14ac:dyDescent="0.2">
      <c r="A4659" s="1" t="s">
        <v>1629</v>
      </c>
      <c r="B4659" s="1" t="str">
        <f ca="1">IFERROR(__xludf.DUMFUNCTION("GOOGLETRANSLATE(A4805,""id"",""en"")"),"Emotional Functional Benefits of  Emotional Entering Top Strongest Oil Amp Gas Brand Brand Brand Brand")</f>
        <v>Emotional Functional Benefits of  Emotional Entering Top Strongest Oil Amp Gas Brand Brand Brand Brand</v>
      </c>
    </row>
    <row r="4660" spans="1:2" x14ac:dyDescent="0.2">
      <c r="A4660" s="1" t="s">
        <v>1645</v>
      </c>
      <c r="B4660" s="1" t="str">
        <f ca="1">IFERROR(__xludf.DUMFUNCTION("GOOGLETRANSLATE(A4806,""id"",""en"")"),"Tutor using  application")</f>
        <v>Tutor using  application</v>
      </c>
    </row>
    <row r="4661" spans="1:2" x14ac:dyDescent="0.2">
      <c r="A4661" s="1" t="s">
        <v>5300</v>
      </c>
      <c r="B4661" s="1" t="str">
        <f ca="1">IFERROR(__xludf.DUMFUNCTION("GOOGLETRANSLATE(A4807,""id"",""en"")"),"buy fuel subsidies must list   yes control control amp")</f>
        <v>buy fuel subsidies must list   yes control control amp</v>
      </c>
    </row>
    <row r="4662" spans="1:2" x14ac:dyDescent="0.2">
      <c r="A4662" s="1" t="s">
        <v>5301</v>
      </c>
      <c r="B4662" s="1" t="str">
        <f ca="1">IFERROR(__xludf.DUMFUNCTION("GOOGLETRANSLATE(A4808,""id"",""en"")"),"Capital Apps  , if gasoline is ecer, Jaya lives on gasoline, the first time is tired")</f>
        <v>Capital Apps  , if gasoline is ecer, Jaya lives on gasoline, the first time is tired</v>
      </c>
    </row>
    <row r="4663" spans="1:2" x14ac:dyDescent="0.2">
      <c r="A4663" s="1" t="s">
        <v>5302</v>
      </c>
      <c r="B4663" s="1" t="str">
        <f ca="1">IFERROR(__xludf.DUMFUNCTION("GOOGLETRANSLATE(A4809,""id"",""en"")"),"better fencing app   district transportation")</f>
        <v>better fencing app   district transportation</v>
      </c>
    </row>
    <row r="4664" spans="1:2" x14ac:dyDescent="0.2">
      <c r="A4664" s="1" t="s">
        <v>538</v>
      </c>
      <c r="B4664" s="1" t="str">
        <f ca="1">IFERROR(__xludf.DUMFUNCTION("GOOGLETRANSLATE(A4810,""id"",""en"")"),"Competitive Pertamini still loss")</f>
        <v>Competitive Pertamini still loss</v>
      </c>
    </row>
    <row r="4665" spans="1:2" x14ac:dyDescent="0.2">
      <c r="A4665" s="1" t="s">
        <v>1131</v>
      </c>
      <c r="B4665" s="1" t="str">
        <f ca="1">IFERROR(__xludf.DUMFUNCTION("GOOGLETRANSLATE(A4811,""id"",""en"")")," Patra Niaga Testing Pertalite Solar Trial for List")</f>
        <v xml:space="preserve"> Patra Niaga Testing Pertalite Solar Trial for List</v>
      </c>
    </row>
    <row r="4666" spans="1:2" x14ac:dyDescent="0.2">
      <c r="A4666" s="1" t="s">
        <v>1629</v>
      </c>
      <c r="B4666" s="1" t="str">
        <f ca="1">IFERROR(__xludf.DUMFUNCTION("GOOGLETRANSLATE(A4812,""id"",""en"")"),"Emotional Functional Benefits of  Emotional Entering Top Strongest Oil Amp Gas Brand Brand Brand Brand")</f>
        <v>Emotional Functional Benefits of  Emotional Entering Top Strongest Oil Amp Gas Brand Brand Brand Brand</v>
      </c>
    </row>
    <row r="4667" spans="1:2" x14ac:dyDescent="0.2">
      <c r="A4667" s="1" t="s">
        <v>1646</v>
      </c>
      <c r="B4667" s="1" t="str">
        <f ca="1">IFERROR(__xludf.DUMFUNCTION("GOOGLETRANSLATE(A4813,""id"",""en"")"),"yaaa then org who doesn't do the cellphone, I don't understand playing the cellphone, how come you haven't banned your cellphone, I don't like your cellphone.")</f>
        <v>yaaa then org who doesn't do the cellphone, I don't understand playing the cellphone, how come you haven't banned your cellphone, I don't like your cellphone.</v>
      </c>
    </row>
    <row r="4668" spans="1:2" x14ac:dyDescent="0.2">
      <c r="A4668" s="1" t="s">
        <v>1647</v>
      </c>
      <c r="B4668" s="1" t="str">
        <f ca="1">IFERROR(__xludf.DUMFUNCTION("GOOGLETRANSLATE(A4814,""id"",""en"")"),"July I moved Shell bye bye ")</f>
        <v xml:space="preserve">July I moved Shell bye bye </v>
      </c>
    </row>
    <row r="4669" spans="1:2" x14ac:dyDescent="0.2">
      <c r="A4669" s="1" t="s">
        <v>539</v>
      </c>
      <c r="B4669" s="1" t="str">
        <f ca="1">IFERROR(__xludf.DUMFUNCTION("GOOGLETRANSLATE(A4815,""id"",""en"")"),"worth changing ahok erick thohir love")</f>
        <v>worth changing ahok erick thohir love</v>
      </c>
    </row>
    <row r="4670" spans="1:2" x14ac:dyDescent="0.2">
      <c r="A4670" s="1" t="s">
        <v>1648</v>
      </c>
      <c r="B4670" s="1" t="str">
        <f ca="1">IFERROR(__xludf.DUMFUNCTION("GOOGLETRANSLATE(A4816,""id"",""en"")"),"Great Congratulations   EnergyToday EnergyTodayid")</f>
        <v>Great Congratulations   EnergyToday EnergyTodayid</v>
      </c>
    </row>
    <row r="4671" spans="1:2" x14ac:dyDescent="0.2">
      <c r="A4671" s="1" t="s">
        <v>1131</v>
      </c>
      <c r="B4671" s="1" t="str">
        <f ca="1">IFERROR(__xludf.DUMFUNCTION("GOOGLETRANSLATE(A4817,""id"",""en"")")," Patra Niaga Testing Pertalite Solar Trial for List")</f>
        <v xml:space="preserve"> Patra Niaga Testing Pertalite Solar Trial for List</v>
      </c>
    </row>
    <row r="4672" spans="1:2" x14ac:dyDescent="0.2">
      <c r="A4672" s="1" t="s">
        <v>1629</v>
      </c>
      <c r="B4672" s="1" t="str">
        <f ca="1">IFERROR(__xludf.DUMFUNCTION("GOOGLETRANSLATE(A4818,""id"",""en"")"),"Emotional Functional Benefits of  Emotional Entering Top Strongest Oil Amp Gas Brand Brand Brand Brand")</f>
        <v>Emotional Functional Benefits of  Emotional Entering Top Strongest Oil Amp Gas Brand Brand Brand Brand</v>
      </c>
    </row>
    <row r="4673" spans="1:2" x14ac:dyDescent="0.2">
      <c r="A4673" s="1" t="s">
        <v>540</v>
      </c>
      <c r="B4673" s="1" t="str">
        <f ca="1">IFERROR(__xludf.DUMFUNCTION("GOOGLETRANSLATE(A4819,""id"",""en"")"),"Hopefully success")</f>
        <v>Hopefully success</v>
      </c>
    </row>
    <row r="4674" spans="1:2" x14ac:dyDescent="0.2">
      <c r="A4674" s="1" t="s">
        <v>5303</v>
      </c>
      <c r="B4674" s="1" t="str">
        <f ca="1">IFERROR(__xludf.DUMFUNCTION("GOOGLETRANSLATE(A4820,""id"",""en"")")," Oge Kedah Nyadiakeun Wifi Pom Na Kanggo Ameh Tirasa Accessing the Internet Kanggo Open the   Na application")</f>
        <v xml:space="preserve"> Oge Kedah Nyadiakeun Wifi Pom Na Kanggo Ameh Tirasa Accessing the Internet Kanggo Open the   Na application</v>
      </c>
    </row>
    <row r="4675" spans="1:2" x14ac:dyDescent="0.2">
      <c r="A4675" s="1" t="s">
        <v>5304</v>
      </c>
      <c r="B4675" s="1" t="str">
        <f ca="1">IFERROR(__xludf.DUMFUNCTION("GOOGLETRANSLATE(A4821,""id"",""en"")"),"List of Areas Buy Pertalite Solar Application    EnergyToday EnergyTodayid")</f>
        <v>List of Areas Buy Pertalite Solar Application    EnergyToday EnergyTodayid</v>
      </c>
    </row>
    <row r="4676" spans="1:2" x14ac:dyDescent="0.2">
      <c r="A4676" s="1" t="s">
        <v>5305</v>
      </c>
      <c r="B4676" s="1" t="str">
        <f ca="1">IFERROR(__xludf.DUMFUNCTION("GOOGLETRANSLATE(A4822,""id"",""en"")"),"Gin just a tight public care about the protected  protection also anget anget tightly after knowing the global brand has anticipated gamau rash")</f>
        <v>Gin just a tight public care about the protected  protection also anget anget tightly after knowing the global brand has anticipated gamau rash</v>
      </c>
    </row>
    <row r="4677" spans="1:2" x14ac:dyDescent="0.2">
      <c r="A4677" s="1" t="s">
        <v>1649</v>
      </c>
      <c r="B4677" s="1" t="str">
        <f ca="1">IFERROR(__xludf.DUMFUNCTION("GOOGLETRANSLATE(A4823,""id"",""en"")"),"Good achievement to win  hard work of  EnergyToday EnergyTodayid team")</f>
        <v>Good achievement to win  hard work of  EnergyToday EnergyTodayid team</v>
      </c>
    </row>
    <row r="4678" spans="1:2" x14ac:dyDescent="0.2">
      <c r="A4678" s="1" t="s">
        <v>541</v>
      </c>
      <c r="B4678" s="1" t="str">
        <f ca="1">IFERROR(__xludf.DUMFUNCTION("GOOGLETRANSLATE(A4824,""id"",""en"")"),"please help cc info")</f>
        <v>please help cc info</v>
      </c>
    </row>
    <row r="4679" spans="1:2" x14ac:dyDescent="0.2">
      <c r="A4679" s="1" t="s">
        <v>541</v>
      </c>
      <c r="B4679" s="1" t="str">
        <f ca="1">IFERROR(__xludf.DUMFUNCTION("GOOGLETRANSLATE(A4825,""id"",""en"")"),"please help cc info")</f>
        <v>please help cc info</v>
      </c>
    </row>
    <row r="4680" spans="1:2" x14ac:dyDescent="0.2">
      <c r="A4680" s="1" t="s">
        <v>542</v>
      </c>
      <c r="B4680" s="1" t="str">
        <f ca="1">IFERROR(__xludf.DUMFUNCTION("GOOGLETRANSLATE(A4826,""id"",""en"")"),"just take it back to the heart of the heart")</f>
        <v>just take it back to the heart of the heart</v>
      </c>
    </row>
    <row r="4681" spans="1:2" x14ac:dyDescent="0.2">
      <c r="A4681" s="1" t="s">
        <v>1650</v>
      </c>
      <c r="B4681" s="1" t="str">
        <f ca="1">IFERROR(__xludf.DUMFUNCTION("GOOGLETRANSLATE(A4827,""id"",""en"")"),"Anyink Cool Tomorrow Change ")</f>
        <v xml:space="preserve">Anyink Cool Tomorrow Change </v>
      </c>
    </row>
    <row r="4682" spans="1:2" x14ac:dyDescent="0.2">
      <c r="A4682" s="1" t="s">
        <v>1651</v>
      </c>
      <c r="B4682" s="1" t="str">
        <f ca="1">IFERROR(__xludf.DUMFUNCTION("GOOGLETRANSLATE(A4828,""id"",""en"")"),"Tata Consumer List for Solar Subsidies  Energy Energy EnergyTodayid")</f>
        <v>Tata Consumer List for Solar Subsidies  Energy Energy EnergyTodayid</v>
      </c>
    </row>
    <row r="4683" spans="1:2" x14ac:dyDescent="0.2">
      <c r="A4683" s="1" t="s">
        <v>1652</v>
      </c>
      <c r="B4683" s="1" t="str">
        <f ca="1">IFERROR(__xludf.DUMFUNCTION("GOOGLETRANSLATE(A4829,""id"",""en"")"),"Let's Support  Patra Niaga Trial Servants Selling Pertalite Solar Subsidies for the List of  EnergyToday EnergyTodayid")</f>
        <v>Let's Support  Patra Niaga Trial Servants Selling Pertalite Solar Subsidies for the List of  EnergyToday EnergyTodayid</v>
      </c>
    </row>
    <row r="4684" spans="1:2" x14ac:dyDescent="0.2">
      <c r="A4684" s="1" t="s">
        <v>1653</v>
      </c>
      <c r="B4684" s="1" t="str">
        <f ca="1">IFERROR(__xludf.DUMFUNCTION("GOOGLETRANSLATE(A4830,""id"",""en"")")," shares")</f>
        <v xml:space="preserve"> shares</v>
      </c>
    </row>
    <row r="4685" spans="1:2" x14ac:dyDescent="0.2">
      <c r="A4685" s="1" t="s">
        <v>543</v>
      </c>
      <c r="B4685" s="1" t="str">
        <f ca="1">IFERROR(__xludf.DUMFUNCTION("GOOGLETRANSLATE(A4831,""id"",""en"")"),"MSME advance")</f>
        <v>MSME advance</v>
      </c>
    </row>
    <row r="4686" spans="1:2" x14ac:dyDescent="0.2">
      <c r="A4686" s="1" t="s">
        <v>5306</v>
      </c>
      <c r="B4686" s="1" t="str">
        <f ca="1">IFERROR(__xludf.DUMFUNCTION("GOOGLETRANSLATE(A4832,""id"",""en"")"),"Let's list the Digital Application    Website Pertalite Solar Rights  Energy Energy EnergyTodayid")</f>
        <v>Let's list the Digital Application    Website Pertalite Solar Rights  Energy Energy EnergyTodayid</v>
      </c>
    </row>
    <row r="4687" spans="1:2" x14ac:dyDescent="0.2">
      <c r="A4687" s="1" t="s">
        <v>544</v>
      </c>
      <c r="B4687" s="1" t="str">
        <f ca="1">IFERROR(__xludf.DUMFUNCTION("GOOGLETRANSLATE(A4833,""id"",""en"")"),"Exactly sophisticated the effort who guarded the commitment of the fuel subsidy")</f>
        <v>Exactly sophisticated the effort who guarded the commitment of the fuel subsidy</v>
      </c>
    </row>
    <row r="4688" spans="1:2" x14ac:dyDescent="0.2">
      <c r="A4688" s="1" t="s">
        <v>5307</v>
      </c>
      <c r="B4688" s="1" t="str">
        <f ca="1">IFERROR(__xludf.DUMFUNCTION("GOOGLETRANSLATE(A4834,""id"",""en"")"),"some week the discourse of  Center for Fuel Pay Pay   HP Task Task said GPP is safe to fill in Paying using the Barcode app scan")</f>
        <v>some week the discourse of  Center for Fuel Pay Pay   HP Task Task said GPP is safe to fill in Paying using the Barcode app scan</v>
      </c>
    </row>
    <row r="4689" spans="1:2" x14ac:dyDescent="0.2">
      <c r="A4689" s="1" t="s">
        <v>5308</v>
      </c>
      <c r="B4689" s="1" t="str">
        <f ca="1">IFERROR(__xludf.DUMFUNCTION("GOOGLETRANSLATE(A4835,""id"",""en"")"),"make   so it's complicated to buy pertalite, the price of the price is already big data big data.")</f>
        <v>make   so it's complicated to buy pertalite, the price of the price is already big data big data.</v>
      </c>
    </row>
    <row r="4690" spans="1:2" x14ac:dyDescent="0.2">
      <c r="A4690" s="1" t="s">
        <v>1654</v>
      </c>
      <c r="B4690" s="1" t="str">
        <f ca="1">IFERROR(__xludf.DUMFUNCTION("GOOGLETRANSLATE(A4836,""id"",""en"")"),"Indonesian people appreciate the achievements of   EnergyToday EnergyTodayid")</f>
        <v>Indonesian people appreciate the achievements of   EnergyToday EnergyTodayid</v>
      </c>
    </row>
    <row r="4691" spans="1:2" x14ac:dyDescent="0.2">
      <c r="A4691" s="1" t="s">
        <v>1655</v>
      </c>
      <c r="B4691" s="1" t="str">
        <f ca="1">IFERROR(__xludf.DUMFUNCTION("GOOGLETRANSLATE(A4837,""id"",""en"")"),"It's funny when the EDC engine is just  Jakarta LOL")</f>
        <v>It's funny when the EDC engine is just  Jakarta LOL</v>
      </c>
    </row>
    <row r="4692" spans="1:2" x14ac:dyDescent="0.2">
      <c r="A4692" s="1" t="s">
        <v>1656</v>
      </c>
      <c r="B4692" s="1" t="str">
        <f ca="1">IFERROR(__xludf.DUMFUNCTION("GOOGLETRANSLATE(A4838,""id"",""en"")"),"Appreciation of the achievements of  Entering the Top Strongest Oil and Gas Brand  Energytoday Energy Ranking")</f>
        <v>Appreciation of the achievements of  Entering the Top Strongest Oil and Gas Brand  Energytoday Energy Ranking</v>
      </c>
    </row>
    <row r="4693" spans="1:2" x14ac:dyDescent="0.2">
      <c r="A4693" s="1" t="s">
        <v>5309</v>
      </c>
      <c r="B4693" s="1" t="str">
        <f ca="1">IFERROR(__xludf.DUMFUNCTION("GOOGLETRANSLATE(A4839,""id"",""en"")"),"Buy Pertalite Using the  Application  Permit to Use  SPBU HP SPBU Area SPBU CAN SIAGE CONDITIONS")</f>
        <v>Buy Pertalite Using the  Application  Permit to Use  SPBU HP SPBU Area SPBU CAN SIAGE CONDITIONS</v>
      </c>
    </row>
    <row r="4694" spans="1:2" x14ac:dyDescent="0.2">
      <c r="A4694" s="1" t="s">
        <v>1657</v>
      </c>
      <c r="B4694" s="1" t="str">
        <f ca="1">IFERROR(__xludf.DUMFUNCTION("GOOGLETRANSLATE(A4840,""id"",""en"")"),"PLN owes Bulog owes , too, the hospital owes the BUMN, how do you owe it, how do you owe that the Tri Money is owing where the country is rich in the hands of the former furniture hand.")</f>
        <v>PLN owes Bulog owes , too, the hospital owes the BUMN, how do you owe it, how do you owe that the Tri Money is owing where the country is rich in the hands of the former furniture hand.</v>
      </c>
    </row>
    <row r="4695" spans="1:2" x14ac:dyDescent="0.2">
      <c r="A4695" s="1" t="s">
        <v>1658</v>
      </c>
      <c r="B4695" s="1" t="str">
        <f ca="1">IFERROR(__xludf.DUMFUNCTION("GOOGLETRANSLATE(A4841,""id"",""en"")"),"bucking, bothering because it is not a consumer of , young people who are literate in the application, aka mamak rempong battery, who is not fair")</f>
        <v>bucking, bothering because it is not a consumer of , young people who are literate in the application, aka mamak rempong battery, who is not fair</v>
      </c>
    </row>
    <row r="4696" spans="1:2" x14ac:dyDescent="0.2">
      <c r="A4696" s="1" t="s">
        <v>545</v>
      </c>
      <c r="B4696" s="1" t="str">
        <f ca="1">IFERROR(__xludf.DUMFUNCTION("GOOGLETRANSLATE(A4842,""id"",""en"")"),"Have advice the first one cc please stop this plan in know what things behind this plan but the future already scares me the second one is collected your cash big enough to face another era of high inflation")</f>
        <v>Have advice the first one cc please stop this plan in know what things behind this plan but the future already scares me the second one is collected your cash big enough to face another era of high inflation</v>
      </c>
    </row>
    <row r="4697" spans="1:2" x14ac:dyDescent="0.2">
      <c r="A4697" s="1" t="s">
        <v>5310</v>
      </c>
      <c r="B4697" s="1" t="str">
        <f ca="1">IFERROR(__xludf.DUMFUNCTION("GOOGLETRANSLATE(A4843,""id"",""en"")"),"July guys if you buy a solar pertalite application   ")</f>
        <v xml:space="preserve">July guys if you buy a solar pertalite application   </v>
      </c>
    </row>
    <row r="4698" spans="1:2" x14ac:dyDescent="0.2">
      <c r="A4698" s="1" t="s">
        <v>1659</v>
      </c>
      <c r="B4698" s="1" t="str">
        <f ca="1">IFERROR(__xludf.DUMFUNCTION("GOOGLETRANSLATE(A4844,""id"",""en"")"),"Phase of the List of Consumers of Solar Subsidies  Energy Energy EnergyTodayid")</f>
        <v>Phase of the List of Consumers of Solar Subsidies  Energy Energy EnergyTodayid</v>
      </c>
    </row>
    <row r="4699" spans="1:2" x14ac:dyDescent="0.2">
      <c r="A4699" s="1" t="s">
        <v>546</v>
      </c>
      <c r="B4699" s="1" t="str">
        <f ca="1">IFERROR(__xludf.DUMFUNCTION("GOOGLETRANSLATE(A4845,""id"",""en"")"),"Solar Premium Bengsin Ari Nauh Uyuh Sia Mah Daek Dibobodo")</f>
        <v>Solar Premium Bengsin Ari Nauh Uyuh Sia Mah Daek Dibobodo</v>
      </c>
    </row>
    <row r="4700" spans="1:2" x14ac:dyDescent="0.2">
      <c r="A4700" s="1" t="s">
        <v>5311</v>
      </c>
      <c r="B4700" s="1" t="str">
        <f ca="1">IFERROR(__xludf.DUMFUNCTION("GOOGLETRANSLATE(A4846,""id"",""en"")"),"Wait a minute, app   if you fill in Pertalite, enter the vehicle number, make a queue if you buy Pertamax Turbo, it's not easy to try back")</f>
        <v>Wait a minute, app   if you fill in Pertalite, enter the vehicle number, make a queue if you buy Pertamax Turbo, it's not easy to try back</v>
      </c>
    </row>
    <row r="4701" spans="1:2" x14ac:dyDescent="0.2">
      <c r="A4701" s="1" t="s">
        <v>5312</v>
      </c>
      <c r="B4701" s="1" t="str">
        <f ca="1">IFERROR(__xludf.DUMFUNCTION("GOOGLETRANSLATE(A4847,""id"",""en"")"),"PERTALITE RIGHT SUBSIDI SUBSIDI SUBSIDI CURSE OF    ENERGYTODAY ENERGYTODAYID")</f>
        <v>PERTALITE RIGHT SUBSIDI SUBSIDI SUBSIDI CURSE OF    ENERGYTODAY ENERGYTODAYID</v>
      </c>
    </row>
    <row r="4702" spans="1:2" x14ac:dyDescent="0.2">
      <c r="A4702" s="1" t="s">
        <v>1131</v>
      </c>
      <c r="B4702" s="1" t="str">
        <f ca="1">IFERROR(__xludf.DUMFUNCTION("GOOGLETRANSLATE(A4848,""id"",""en"")")," Patra Niaga Testing Pertalite Solar Trial for List")</f>
        <v xml:space="preserve"> Patra Niaga Testing Pertalite Solar Trial for List</v>
      </c>
    </row>
    <row r="4703" spans="1:2" x14ac:dyDescent="0.2">
      <c r="A4703" s="1" t="s">
        <v>547</v>
      </c>
      <c r="B4703" s="1" t="str">
        <f ca="1">IFERROR(__xludf.DUMFUNCTION("GOOGLETRANSLATE(A4849,""id"",""en"")"),"people are hungry holding you knowing the people")</f>
        <v>people are hungry holding you knowing the people</v>
      </c>
    </row>
    <row r="4704" spans="1:2" x14ac:dyDescent="0.2">
      <c r="A4704" s="1" t="s">
        <v>1660</v>
      </c>
      <c r="B4704" s="1" t="str">
        <f ca="1">IFERROR(__xludf.DUMFUNCTION("GOOGLETRANSLATE(A4850,""id"",""en"")"),"Sasar person in fuel subsidy subsidy loss limit of PT  Loss PT  Reach Trillion Value requires a rare limit")</f>
        <v>Sasar person in fuel subsidy subsidy loss limit of PT  Loss PT  Reach Trillion Value requires a rare limit</v>
      </c>
    </row>
    <row r="4705" spans="1:2" x14ac:dyDescent="0.2">
      <c r="A4705" s="1" t="s">
        <v>1661</v>
      </c>
      <c r="B4705" s="1" t="str">
        <f ca="1">IFERROR(__xludf.DUMFUNCTION("GOOGLETRANSLATE(A4851,""id"",""en"")"),"It's better if you read the report of 's money and the assumption is not basic data")</f>
        <v>It's better if you read the report of 's money and the assumption is not basic data</v>
      </c>
    </row>
    <row r="4706" spans="1:2" x14ac:dyDescent="0.2">
      <c r="A4706" s="1" t="s">
        <v>548</v>
      </c>
      <c r="B4706" s="1" t="str">
        <f ca="1">IFERROR(__xludf.DUMFUNCTION("GOOGLETRANSLATE(A4852,""id"",""en"")"),"SPBU DKT Hospital Rajawali Ngantri Aya Siloreng Forced Meuli Pertalite Na queued NU Cars Empty")</f>
        <v>SPBU DKT Hospital Rajawali Ngantri Aya Siloreng Forced Meuli Pertalite Na queued NU Cars Empty</v>
      </c>
    </row>
    <row r="4707" spans="1:2" x14ac:dyDescent="0.2">
      <c r="A4707" s="1" t="s">
        <v>1629</v>
      </c>
      <c r="B4707" s="1" t="str">
        <f ca="1">IFERROR(__xludf.DUMFUNCTION("GOOGLETRANSLATE(A4853,""id"",""en"")"),"Emotional Functional Benefits of  Emotional Entering Top Strongest Oil Amp Gas Brand Brand Brand Brand")</f>
        <v>Emotional Functional Benefits of  Emotional Entering Top Strongest Oil Amp Gas Brand Brand Brand Brand</v>
      </c>
    </row>
    <row r="4708" spans="1:2" x14ac:dyDescent="0.2">
      <c r="A4708" s="1" t="s">
        <v>1662</v>
      </c>
      <c r="B4708" s="1" t="str">
        <f ca="1">IFERROR(__xludf.DUMFUNCTION("GOOGLETRANSLATE(A4854,""id"",""en"")"),"PT  Patra Niaga Opens the process of buying list of BBM PERTALITE SOLAR SUBSIDI TYPE JULY  ENERGOYTODAY ENERGYTODAYID")</f>
        <v>PT  Patra Niaga Opens the process of buying list of BBM PERTALITE SOLAR SUBSIDI TYPE JULY  ENERGOYTODAY ENERGYTODAYID</v>
      </c>
    </row>
    <row r="4709" spans="1:2" x14ac:dyDescent="0.2">
      <c r="A4709" s="1" t="s">
        <v>1663</v>
      </c>
      <c r="B4709" s="1" t="str">
        <f ca="1">IFERROR(__xludf.DUMFUNCTION("GOOGLETRANSLATE(A4855,""id"",""en"")"),"I hope 's achievements will be resistant to the world of the world of  EnergyToday energyTodayid")</f>
        <v>I hope 's achievements will be resistant to the world of the world of  EnergyToday energyTodayid</v>
      </c>
    </row>
    <row r="4710" spans="1:2" x14ac:dyDescent="0.2">
      <c r="A4710" s="1" t="s">
        <v>1664</v>
      </c>
      <c r="B4710" s="1" t="str">
        <f ca="1">IFERROR(__xludf.DUMFUNCTION("GOOGLETRANSLATE(A4856,""id"",""en"")"),"Happy deck doesn't go  using hooray apk, while gublok pays")</f>
        <v>Happy deck doesn't go  using hooray apk, while gublok pays</v>
      </c>
    </row>
    <row r="4711" spans="1:2" x14ac:dyDescent="0.2">
      <c r="A4711" s="1" t="s">
        <v>1665</v>
      </c>
      <c r="B4711" s="1" t="str">
        <f ca="1">IFERROR(__xludf.DUMFUNCTION("GOOGLETRANSLATE(A4857,""id"",""en"")"),"don't play a gas station, buy gasoline, buy gasoline, told to use , confused")</f>
        <v>don't play a gas station, buy gasoline, buy gasoline, told to use , confused</v>
      </c>
    </row>
    <row r="4712" spans="1:2" x14ac:dyDescent="0.2">
      <c r="A4712" s="1" t="s">
        <v>549</v>
      </c>
      <c r="B4712" s="1" t="str">
        <f ca="1">IFERROR(__xludf.DUMFUNCTION("GOOGLETRANSLATE(A4858,""id"",""en"")"),"They don't realize everything")</f>
        <v>They don't realize everything</v>
      </c>
    </row>
    <row r="4713" spans="1:2" x14ac:dyDescent="0.2">
      <c r="A4713" s="1" t="s">
        <v>1666</v>
      </c>
      <c r="B4713" s="1" t="str">
        <f ca="1">IFERROR(__xludf.DUMFUNCTION("GOOGLETRANSLATE(A4859,""id"",""en"")"),"Picture of the Community of the Consumer List of Solar Consumer Subsidies of  Energy Energy EnergyTodayid")</f>
        <v>Picture of the Community of the Consumer List of Solar Consumer Subsidies of  Energy Energy EnergyTodayid</v>
      </c>
    </row>
    <row r="4714" spans="1:2" x14ac:dyDescent="0.2">
      <c r="A4714" s="1" t="s">
        <v>1667</v>
      </c>
      <c r="B4714" s="1" t="str">
        <f ca="1">IFERROR(__xludf.DUMFUNCTION("GOOGLETRANSLATE(A4860,""id"",""en"")")," taught the make app in the middle of the middle of the old age where using the motorbike is practical, this is a discourse")</f>
        <v xml:space="preserve"> taught the make app in the middle of the middle of the old age where using the motorbike is practical, this is a discourse</v>
      </c>
    </row>
    <row r="4715" spans="1:2" x14ac:dyDescent="0.2">
      <c r="A4715" s="1" t="s">
        <v>1668</v>
      </c>
      <c r="B4715" s="1" t="str">
        <f ca="1">IFERROR(__xludf.DUMFUNCTION("GOOGLETRANSLATE(A4861,""id"",""en"")"),"This amazing achieved   EnergyToday EnergyTodayid")</f>
        <v>This amazing achieved   EnergyToday EnergyTodayid</v>
      </c>
    </row>
    <row r="4716" spans="1:2" x14ac:dyDescent="0.2">
      <c r="A4716" s="1" t="s">
        <v>1669</v>
      </c>
      <c r="B4716" s="1" t="str">
        <f ca="1">IFERROR(__xludf.DUMFUNCTION("GOOGLETRANSLATE(A4862,""id"",""en"")"),"it's not a super weird friend but  friend is really weird until I'm confused about  friend wearing a  uniform office")</f>
        <v>it's not a super weird friend but  friend is really weird until I'm confused about  friend wearing a  uniform office</v>
      </c>
    </row>
    <row r="4717" spans="1:2" x14ac:dyDescent="0.2">
      <c r="A4717" s="1" t="s">
        <v>550</v>
      </c>
      <c r="B4717" s="1" t="str">
        <f ca="1">IFERROR(__xludf.DUMFUNCTION("GOOGLETRANSLATE(A4863,""id"",""en"")"),"Jokowi")</f>
        <v>Jokowi</v>
      </c>
    </row>
    <row r="4718" spans="1:2" x14ac:dyDescent="0.2">
      <c r="A4718" s="1" t="s">
        <v>551</v>
      </c>
      <c r="B4718" s="1" t="str">
        <f ca="1">IFERROR(__xludf.DUMFUNCTION("GOOGLETRANSLATE(A4864,""id"",""en"")"),"the minimum food crisis of the price of the oval price now is to feel the people's side dishes, yeah")</f>
        <v>the minimum food crisis of the price of the oval price now is to feel the people's side dishes, yeah</v>
      </c>
    </row>
    <row r="4719" spans="1:2" x14ac:dyDescent="0.2">
      <c r="A4719" s="1" t="s">
        <v>1670</v>
      </c>
      <c r="B4719" s="1" t="str">
        <f ca="1">IFERROR(__xludf.DUMFUNCTION("GOOGLETRANSLATE(A4865,""id"",""en"")"),"Urgent Applications Not Panik Panik Panik Fretting PSWRD OTP Road BGMN Buy  Pertalite gasoline")</f>
        <v>Urgent Applications Not Panik Panik Panik Fretting PSWRD OTP Road BGMN Buy  Pertalite gasoline</v>
      </c>
    </row>
    <row r="4720" spans="1:2" x14ac:dyDescent="0.2">
      <c r="A4720" s="1" t="s">
        <v>1671</v>
      </c>
      <c r="B4720" s="1" t="str">
        <f ca="1">IFERROR(__xludf.DUMFUNCTION("GOOGLETRANSLATE(A4866,""id"",""en"")"),"CLIMACT HOURS come home from work at the time of the one that is down the  Pertalite contents")</f>
        <v>CLIMACT HOURS come home from work at the time of the one that is down the  Pertalite contents</v>
      </c>
    </row>
    <row r="4721" spans="1:2" x14ac:dyDescent="0.2">
      <c r="A4721" s="1" t="s">
        <v>1672</v>
      </c>
      <c r="B4721" s="1" t="str">
        <f ca="1">IFERROR(__xludf.DUMFUNCTION("GOOGLETRANSLATE(A4867,""id"",""en"")")," Patra Niaga Try giving serving Pertalite Solar to List  EnergyToday EnergyTodayid")</f>
        <v xml:space="preserve"> Patra Niaga Try giving serving Pertalite Solar to List  EnergyToday EnergyTodayid</v>
      </c>
    </row>
    <row r="4722" spans="1:2" x14ac:dyDescent="0.2">
      <c r="A4722" s="1" t="s">
        <v>5313</v>
      </c>
      <c r="B4722" s="1" t="str">
        <f ca="1">IFERROR(__xludf.DUMFUNCTION("GOOGLETRANSLATE(A4868,""id"",""en"")"),"wkwkwk calm balance safe ndilalah   error does not bring cash fortunately atm try the forest gas station not modar ATM directly hahaha pretty much choose to pay")</f>
        <v>wkwkwk calm balance safe ndilalah   error does not bring cash fortunately atm try the forest gas station not modar ATM directly hahaha pretty much choose to pay</v>
      </c>
    </row>
    <row r="4723" spans="1:2" x14ac:dyDescent="0.2">
      <c r="A4723" s="1" t="s">
        <v>1673</v>
      </c>
      <c r="B4723" s="1" t="str">
        <f ca="1">IFERROR(__xludf.DUMFUNCTION("GOOGLETRANSLATE(A4869,""id"",""en"")")," got a salad")</f>
        <v xml:space="preserve"> got a salad</v>
      </c>
    </row>
    <row r="4724" spans="1:2" x14ac:dyDescent="0.2">
      <c r="A4724" s="1" t="s">
        <v>1674</v>
      </c>
      <c r="B4724" s="1" t="str">
        <f ca="1">IFERROR(__xludf.DUMFUNCTION("GOOGLETRANSLATE(A4870,""id"",""en"")")," is good for the socialization of safety to sell well")</f>
        <v xml:space="preserve"> is good for the socialization of safety to sell well</v>
      </c>
    </row>
    <row r="4725" spans="1:2" x14ac:dyDescent="0.2">
      <c r="A4725" s="1" t="s">
        <v>1675</v>
      </c>
      <c r="B4725" s="1" t="str">
        <f ca="1">IFERROR(__xludf.DUMFUNCTION("GOOGLETRANSLATE(A4871,""id"",""en"")")," koleb and sopi so that the gasoline is credit using sopipay leter")</f>
        <v xml:space="preserve"> koleb and sopi so that the gasoline is credit using sopipay leter</v>
      </c>
    </row>
    <row r="4726" spans="1:2" x14ac:dyDescent="0.2">
      <c r="A4726" s="1" t="s">
        <v>5314</v>
      </c>
      <c r="B4726" s="1" t="str">
        <f ca="1">IFERROR(__xludf.DUMFUNCTION("GOOGLETRANSLATE(A4872,""id"",""en"")"),"I asked the POM task for the   application, it must be a car vehicle for the motorbike vehicle according to me the car must be unfamiliar with a private car")</f>
        <v>I asked the POM task for the   application, it must be a car vehicle for the motorbike vehicle according to me the car must be unfamiliar with a private car</v>
      </c>
    </row>
    <row r="4727" spans="1:2" x14ac:dyDescent="0.2">
      <c r="A4727" s="1" t="s">
        <v>552</v>
      </c>
      <c r="B4727" s="1" t="str">
        <f ca="1">IFERROR(__xludf.DUMFUNCTION("GOOGLETRANSLATE(A4873,""id"",""en"")"),"Thank you appreciation to support your friend, I hope successful success, friend, Tony")</f>
        <v>Thank you appreciation to support your friend, I hope successful success, friend, Tony</v>
      </c>
    </row>
    <row r="4728" spans="1:2" x14ac:dyDescent="0.2">
      <c r="A4728" s="1" t="s">
        <v>2820</v>
      </c>
      <c r="B4728" s="1" t="str">
        <f ca="1">IFERROR(__xludf.DUMFUNCTION("GOOGLETRANSLATE(A4874,""id"",""en"")"),"July  Open a List of Buying Pertalite ")</f>
        <v xml:space="preserve">July  Open a List of Buying Pertalite </v>
      </c>
    </row>
    <row r="4729" spans="1:2" x14ac:dyDescent="0.2">
      <c r="A4729" s="1" t="s">
        <v>5315</v>
      </c>
      <c r="B4729" s="1" t="str">
        <f ca="1">IFERROR(__xludf.DUMFUNCTION("GOOGLETRANSLATE(A4875,""id"",""en"")"),"Just be concerned, see the Somplak  using the  apk guarantee the android jokower is guaranteed the quota quota adjusting the  hp quota quota is a little plus the burden of the bbm koplak junjung you bong")</f>
        <v>Just be concerned, see the Somplak  using the  apk guarantee the android jokower is guaranteed the quota quota adjusting the  hp quota quota is a little plus the burden of the bbm koplak junjung you bong</v>
      </c>
    </row>
    <row r="4730" spans="1:2" x14ac:dyDescent="0.2">
      <c r="A4730" s="1" t="s">
        <v>5316</v>
      </c>
      <c r="B4730" s="1" t="str">
        <f ca="1">IFERROR(__xludf.DUMFUNCTION("GOOGLETRANSLATE(A4876,""id"",""en"")"),"dear  if you buy fuel gaperlu using the  application using a marriage certificate, it's okay to calculate the less population of the highway.")</f>
        <v>dear  if you buy fuel gaperlu using the  application using a marriage certificate, it's okay to calculate the less population of the highway.</v>
      </c>
    </row>
    <row r="4731" spans="1:2" x14ac:dyDescent="0.2">
      <c r="A4731" s="1" t="s">
        <v>553</v>
      </c>
      <c r="B4731" s="1" t="str">
        <f ca="1">IFERROR(__xludf.DUMFUNCTION("GOOGLETRANSLATE(A4877,""id"",""en"")"),"Thank you friend, appreciate the spirit of the spirit, Tony")</f>
        <v>Thank you friend, appreciate the spirit of the spirit, Tony</v>
      </c>
    </row>
    <row r="4732" spans="1:2" x14ac:dyDescent="0.2">
      <c r="A4732" s="1" t="s">
        <v>5317</v>
      </c>
      <c r="B4732" s="1" t="str">
        <f ca="1">IFERROR(__xludf.DUMFUNCTION("GOOGLETRANSLATE(A4878,""id"",""en"")"),"I've used  . The contents of the contents are paid to tell until the refill is not pom using the employee rempong application, it's not old, sometimes I tell me")</f>
        <v>I've used  . The contents of the contents are paid to tell until the refill is not pom using the employee rempong application, it's not old, sometimes I tell me</v>
      </c>
    </row>
    <row r="4733" spans="1:2" x14ac:dyDescent="0.2">
      <c r="A4733" s="1" t="s">
        <v>1676</v>
      </c>
      <c r="B4733" s="1" t="str">
        <f ca="1">IFERROR(__xludf.DUMFUNCTION("GOOGLETRANSLATE(A4879,""id"",""en"")"),"The retail is sold in the POM  not a hassle")</f>
        <v>The retail is sold in the POM  not a hassle</v>
      </c>
    </row>
    <row r="4734" spans="1:2" x14ac:dyDescent="0.2">
      <c r="A4734" s="1" t="s">
        <v>1677</v>
      </c>
      <c r="B4734" s="1" t="str">
        <f ca="1">IFERROR(__xludf.DUMFUNCTION("GOOGLETRANSLATE(A4880,""id"",""en"")"),"Oh Jungmo  Jungmo Pertamini")</f>
        <v>Oh Jungmo  Jungmo Pertamini</v>
      </c>
    </row>
    <row r="4735" spans="1:2" x14ac:dyDescent="0.2">
      <c r="A4735" s="1" t="s">
        <v>1678</v>
      </c>
      <c r="B4735" s="1" t="str">
        <f ca="1">IFERROR(__xludf.DUMFUNCTION("GOOGLETRANSLATE(A4881,""id"",""en"")"),"It's not mandatory if you don't buy  gas station yo forbid suuuuu asu  wallet yo demo")</f>
        <v>It's not mandatory if you don't buy  gas station yo forbid suuuuu asu  wallet yo demo</v>
      </c>
    </row>
    <row r="4736" spans="1:2" x14ac:dyDescent="0.2">
      <c r="A4736" s="1" t="s">
        <v>5318</v>
      </c>
      <c r="B4736" s="1" t="str">
        <f ca="1">IFERROR(__xludf.DUMFUNCTION("GOOGLETRANSLATE(A4882,""id"",""en"")"),"from the info, the people are not now the Android iOS cellphone uses ")</f>
        <v xml:space="preserve">from the info, the people are not now the Android iOS cellphone uses </v>
      </c>
    </row>
    <row r="4737" spans="1:2" x14ac:dyDescent="0.2">
      <c r="A4737" s="1" t="s">
        <v>554</v>
      </c>
      <c r="B4737" s="1" t="str">
        <f ca="1">IFERROR(__xludf.DUMFUNCTION("GOOGLETRANSLATE(A4883,""id"",""en"")"),"sorry, just use the list application, just error")</f>
        <v>sorry, just use the list application, just error</v>
      </c>
    </row>
    <row r="4738" spans="1:2" x14ac:dyDescent="0.2">
      <c r="A4738" s="1" t="s">
        <v>5319</v>
      </c>
      <c r="B4738" s="1" t="str">
        <f ca="1">IFERROR(__xludf.DUMFUNCTION("GOOGLETRANSLATE(A4884,""id"",""en"")"),"from the people's info now the Android mobile iOS uses  which is the base of the potato cellphone, it is obliged to register via the web link that is in the survivors, yes")</f>
        <v>from the people's info now the Android mobile iOS uses  which is the base of the potato cellphone, it is obliged to register via the web link that is in the survivors, yes</v>
      </c>
    </row>
    <row r="4739" spans="1:2" x14ac:dyDescent="0.2">
      <c r="A4739" s="1" t="s">
        <v>5140</v>
      </c>
      <c r="B4739" s="1" t="str">
        <f ca="1">IFERROR(__xludf.DUMFUNCTION("GOOGLETRANSLATE(A4885,""id"",""en"")"),"  Bright Gas Pertamax Giveaway rjbt ")</f>
        <v xml:space="preserve">  Bright Gas Pertamax Giveaway rjbt </v>
      </c>
    </row>
    <row r="4740" spans="1:2" x14ac:dyDescent="0.2">
      <c r="A4740" s="1" t="s">
        <v>1679</v>
      </c>
      <c r="B4740" s="1" t="str">
        <f ca="1">IFERROR(__xludf.DUMFUNCTION("GOOGLETRANSLATE(A4886,""id"",""en"")"),"Iniloh Jungmo   Peace  Maung")</f>
        <v>Iniloh Jungmo   Peace  Maung</v>
      </c>
    </row>
    <row r="4741" spans="1:2" x14ac:dyDescent="0.2">
      <c r="A4741" s="1" t="s">
        <v>1680</v>
      </c>
      <c r="B4741" s="1" t="str">
        <f ca="1">IFERROR(__xludf.DUMFUNCTION("GOOGLETRANSLATE(A4887,""id"",""en"")"),"'s Great Work Entering the World Strongest Oil and Gas Brand  Energy Energy EnergyTodayid ranking")</f>
        <v>'s Great Work Entering the World Strongest Oil and Gas Brand  Energy Energy EnergyTodayid ranking</v>
      </c>
    </row>
    <row r="4742" spans="1:2" x14ac:dyDescent="0.2">
      <c r="A4742" s="1" t="s">
        <v>5320</v>
      </c>
      <c r="B4742" s="1" t="str">
        <f ca="1">IFERROR(__xludf.DUMFUNCTION("GOOGLETRANSLATE(A4888,""id"",""en"")"),"It will be chaotic day by day because our people are not used to have fuel transaction via   apps not just it need to register them self into to be able purchase pertalite or solar which means it will be more horrifying")</f>
        <v>It will be chaotic day by day because our people are not used to have fuel transaction via   apps not just it need to register them self into to be able purchase pertalite or solar which means it will be more horrifying</v>
      </c>
    </row>
    <row r="4743" spans="1:2" x14ac:dyDescent="0.2">
      <c r="A4743" s="1" t="s">
        <v>1681</v>
      </c>
      <c r="B4743" s="1" t="str">
        <f ca="1">IFERROR(__xludf.DUMFUNCTION("GOOGLETRANSLATE(A4889,""id"",""en"")"),"explosive carrying 's cellphone wkwkwk")</f>
        <v>explosive carrying 's cellphone wkwkwk</v>
      </c>
    </row>
    <row r="4744" spans="1:2" x14ac:dyDescent="0.2">
      <c r="A4744" s="1" t="s">
        <v>5321</v>
      </c>
      <c r="B4744" s="1" t="str">
        <f ca="1">IFERROR(__xludf.DUMFUNCTION("GOOGLETRANSLATE(A4890,""id"",""en"")"),"Parliament  Maximum Socialization of  Trials Buy Subsidized BBM")</f>
        <v>Parliament  Maximum Socialization of  Trials Buy Subsidized BBM</v>
      </c>
    </row>
    <row r="4745" spans="1:2" x14ac:dyDescent="0.2">
      <c r="A4745" s="1" t="s">
        <v>1682</v>
      </c>
      <c r="B4745" s="1" t="str">
        <f ca="1">IFERROR(__xludf.DUMFUNCTION("GOOGLETRANSLATE(A4891,""id"",""en"")"),"Yes, wait for the front, I hope the promo from  like a free voucher contents of the best member voucher or not the price voucher")</f>
        <v>Yes, wait for the front, I hope the promo from  like a free voucher contents of the best member voucher or not the price voucher</v>
      </c>
    </row>
    <row r="4746" spans="1:2" x14ac:dyDescent="0.2">
      <c r="A4746" s="1" t="s">
        <v>5322</v>
      </c>
      <c r="B4746" s="1" t="str">
        <f ca="1">IFERROR(__xludf.DUMFUNCTION("GOOGLETRANSLATE(A4892,""id"",""en"")"),"What's wrong with  downlod   so that the contents of Bensen Wakanda are rushing")</f>
        <v>What's wrong with  downlod   so that the contents of Bensen Wakanda are rushing</v>
      </c>
    </row>
    <row r="4747" spans="1:2" x14ac:dyDescent="0.2">
      <c r="A4747" s="1" t="s">
        <v>555</v>
      </c>
      <c r="B4747" s="1" t="str">
        <f ca="1">IFERROR(__xludf.DUMFUNCTION("GOOGLETRANSLATE(A4893,""id"",""en"")"),"ehem Article Paragraph of the ITE Law")</f>
        <v>ehem Article Paragraph of the ITE Law</v>
      </c>
    </row>
    <row r="4748" spans="1:2" x14ac:dyDescent="0.2">
      <c r="A4748" s="1" t="s">
        <v>1683</v>
      </c>
      <c r="B4748" s="1" t="str">
        <f ca="1">IFERROR(__xludf.DUMFUNCTION("GOOGLETRANSLATE(A4894,""id"",""en"")"),"Bio Solar user uses a system so that the rechargeable car that is close to the facts of the field playing the subsidy of the task of  buying and selling the industry")</f>
        <v>Bio Solar user uses a system so that the rechargeable car that is close to the facts of the field playing the subsidy of the task of  buying and selling the industry</v>
      </c>
    </row>
    <row r="4749" spans="1:2" x14ac:dyDescent="0.2">
      <c r="A4749" s="1" t="s">
        <v>556</v>
      </c>
      <c r="B4749" s="1" t="str">
        <f ca="1">IFERROR(__xludf.DUMFUNCTION("GOOGLETRANSLATE(A4895,""id"",""en"")"),"it's not the requirement to use the application to throw away the car")</f>
        <v>it's not the requirement to use the application to throw away the car</v>
      </c>
    </row>
    <row r="4750" spans="1:2" x14ac:dyDescent="0.2">
      <c r="A4750" s="1" t="s">
        <v>5323</v>
      </c>
      <c r="B4750" s="1" t="str">
        <f ca="1">IFERROR(__xludf.DUMFUNCTION("GOOGLETRANSLATE(A4896,""id"",""en"")"),"after downloading   wkwk")</f>
        <v>after downloading   wkwk</v>
      </c>
    </row>
    <row r="4751" spans="1:2" x14ac:dyDescent="0.2">
      <c r="A4751" s="1" t="s">
        <v>5324</v>
      </c>
      <c r="B4751" s="1" t="str">
        <f ca="1">IFERROR(__xludf.DUMFUNCTION("GOOGLETRANSLATE(A4897,""id"",""en"")"),"Let me tell you the world scenario if pertalite must be bured via   apps")</f>
        <v>Let me tell you the world scenario if pertalite must be bured via   apps</v>
      </c>
    </row>
    <row r="4752" spans="1:2" x14ac:dyDescent="0.2">
      <c r="A4752" s="1" t="s">
        <v>1684</v>
      </c>
      <c r="B4752" s="1" t="str">
        <f ca="1">IFERROR(__xludf.DUMFUNCTION("GOOGLETRANSLATE(A4898,""id"",""en"")"),"Serious Ken Jungmo ")</f>
        <v xml:space="preserve">Serious Ken Jungmo </v>
      </c>
    </row>
    <row r="4753" spans="1:2" x14ac:dyDescent="0.2">
      <c r="A4753" s="1" t="s">
        <v>1685</v>
      </c>
      <c r="B4753" s="1" t="str">
        <f ca="1">IFERROR(__xludf.DUMFUNCTION("GOOGLETRANSLATE(A4899,""id"",""en"")")," Test Trial Buy Bbm Subsidized City Application")</f>
        <v xml:space="preserve"> Test Trial Buy Bbm Subsidized City Application</v>
      </c>
    </row>
    <row r="4754" spans="1:2" x14ac:dyDescent="0.2">
      <c r="A4754" s="1" t="s">
        <v>557</v>
      </c>
      <c r="B4754" s="1" t="str">
        <f ca="1">IFERROR(__xludf.DUMFUNCTION("GOOGLETRANSLATE(A4900,""id"",""en"")"),"down the price of land cruiser hardtop full gasoline engine tax on completion")</f>
        <v>down the price of land cruiser hardtop full gasoline engine tax on completion</v>
      </c>
    </row>
    <row r="4755" spans="1:2" x14ac:dyDescent="0.2">
      <c r="A4755" s="1" t="s">
        <v>5325</v>
      </c>
      <c r="B4755" s="1" t="str">
        <f ca="1">IFERROR(__xludf.DUMFUNCTION("GOOGLETRANSLATE(A4901,""id"",""en"")"),"just now fill in using   who is right to pay the error application, pay using the link to the rear queue.")</f>
        <v>just now fill in using   who is right to pay the error application, pay using the link to the rear queue.</v>
      </c>
    </row>
    <row r="4756" spans="1:2" x14ac:dyDescent="0.2">
      <c r="A4756" s="1" t="s">
        <v>1686</v>
      </c>
      <c r="B4756" s="1" t="str">
        <f ca="1">IFERROR(__xludf.DUMFUNCTION("GOOGLETRANSLATE(A4902,""id"",""en"")"),"PT  Patra Niaga Opens the process of buying list of BBM Pertalite Solar July  Energytoday EnergyTodayid")</f>
        <v>PT  Patra Niaga Opens the process of buying list of BBM Pertalite Solar July  Energytoday EnergyTodayid</v>
      </c>
    </row>
    <row r="4757" spans="1:2" x14ac:dyDescent="0.2">
      <c r="A4757" s="1" t="s">
        <v>1687</v>
      </c>
      <c r="B4757" s="1" t="str">
        <f ca="1">IFERROR(__xludf.DUMFUNCTION("GOOGLETRANSLATE(A4903,""id"",""en"")"),"Mantap  Entry of Top Strongest Oil and Gas Brand Ranking Brand Finance  Energy Energy EnergyTodayid")</f>
        <v>Mantap  Entry of Top Strongest Oil and Gas Brand Ranking Brand Finance  Energy Energy EnergyTodayid</v>
      </c>
    </row>
    <row r="4758" spans="1:2" x14ac:dyDescent="0.2">
      <c r="A4758" s="1" t="s">
        <v>558</v>
      </c>
      <c r="B4758" s="1" t="str">
        <f ca="1">IFERROR(__xludf.DUMFUNCTION("GOOGLETRANSLATE(A4904,""id"",""en"")"),"Om tp toilet gas station")</f>
        <v>Om tp toilet gas station</v>
      </c>
    </row>
    <row r="4759" spans="1:2" x14ac:dyDescent="0.2">
      <c r="A4759" s="1" t="s">
        <v>1688</v>
      </c>
      <c r="B4759" s="1" t="str">
        <f ca="1">IFERROR(__xludf.DUMFUNCTION("GOOGLETRANSLATE(A4905,""id"",""en"")"),"Tata Consumer List of Solar Subsidies Pertalite Phase for  EnergyToday EnergyTodayid")</f>
        <v>Tata Consumer List of Solar Subsidies Pertalite Phase for  EnergyToday EnergyTodayid</v>
      </c>
    </row>
    <row r="4760" spans="1:2" x14ac:dyDescent="0.2">
      <c r="A4760" s="1" t="s">
        <v>1689</v>
      </c>
      <c r="B4760" s="1" t="str">
        <f ca="1">IFERROR(__xludf.DUMFUNCTION("GOOGLETRANSLATE(A4906,""id"",""en"")"),"If so I just buy  Mini")</f>
        <v>If so I just buy  Mini</v>
      </c>
    </row>
    <row r="4761" spans="1:2" x14ac:dyDescent="0.2">
      <c r="A4761" s="1" t="s">
        <v>1690</v>
      </c>
      <c r="B4761" s="1" t="str">
        <f ca="1">IFERROR(__xludf.DUMFUNCTION("GOOGLETRANSLATE(A4907,""id"",""en"")"),"You are in prisoners of 's young wife in prisoners")</f>
        <v>You are in prisoners of 's young wife in prisoners</v>
      </c>
    </row>
    <row r="4762" spans="1:2" x14ac:dyDescent="0.2">
      <c r="A4762" s="1" t="s">
        <v>1691</v>
      </c>
      <c r="B4762" s="1" t="str">
        <f ca="1">IFERROR(__xludf.DUMFUNCTION("GOOGLETRANSLATE(A4908,""id"",""en"")"),"One special work like an upstream business upstream of SKK Migas SKK Migas PT  EP Cepu Zona")</f>
        <v>One special work like an upstream business upstream of SKK Migas SKK Migas PT  EP Cepu Zona</v>
      </c>
    </row>
    <row r="4763" spans="1:2" x14ac:dyDescent="0.2">
      <c r="A4763" s="1" t="s">
        <v>1692</v>
      </c>
      <c r="B4763" s="1" t="str">
        <f ca="1">IFERROR(__xludf.DUMFUNCTION("GOOGLETRANSLATE(A4909,""id"",""en"")")," doesn't open your cellphone")</f>
        <v xml:space="preserve"> doesn't open your cellphone</v>
      </c>
    </row>
    <row r="4764" spans="1:2" x14ac:dyDescent="0.2">
      <c r="A4764" s="1" t="s">
        <v>1693</v>
      </c>
      <c r="B4764" s="1" t="str">
        <f ca="1">IFERROR(__xludf.DUMFUNCTION("GOOGLETRANSLATE(A4910,""id"",""en"")"),"PT  Patra Niaga Trial Servants Selling Pertalite Solar to List  EnergyToday EnergyTodayid")</f>
        <v>PT  Patra Niaga Trial Servants Selling Pertalite Solar to List  EnergyToday EnergyTodayid</v>
      </c>
    </row>
    <row r="4765" spans="1:2" x14ac:dyDescent="0.2">
      <c r="A4765" s="1" t="s">
        <v>1694</v>
      </c>
      <c r="B4765" s="1" t="str">
        <f ca="1">IFERROR(__xludf.DUMFUNCTION("GOOGLETRANSLATE(A4911,""id"",""en"")"),"Loss  Subsidiary Subcontract segment that loses subsidiaries that segments explain if the loss of profit loss Total Name of Segments that naturally loss GT Profit")</f>
        <v>Loss  Subsidiary Subcontract segment that loses subsidiaries that segments explain if the loss of profit loss Total Name of Segments that naturally loss GT Profit</v>
      </c>
    </row>
    <row r="4766" spans="1:2" x14ac:dyDescent="0.2">
      <c r="A4766" s="1" t="s">
        <v>5321</v>
      </c>
      <c r="B4766" s="1" t="str">
        <f ca="1">IFERROR(__xludf.DUMFUNCTION("GOOGLETRANSLATE(A4912,""id"",""en"")"),"Parliament  Maximum Socialization of  Trials Buy Subsidized BBM")</f>
        <v>Parliament  Maximum Socialization of  Trials Buy Subsidized BBM</v>
      </c>
    </row>
    <row r="4767" spans="1:2" x14ac:dyDescent="0.2">
      <c r="A4767" s="1" t="s">
        <v>1695</v>
      </c>
      <c r="B4767" s="1" t="str">
        <f ca="1">IFERROR(__xludf.DUMFUNCTION("GOOGLETRANSLATE(A4913,""id"",""en"")"),"Already applied , didn't pass DM Erick Thohir to try")</f>
        <v>Already applied , didn't pass DM Erick Thohir to try</v>
      </c>
    </row>
    <row r="4768" spans="1:2" x14ac:dyDescent="0.2">
      <c r="A4768" s="1" t="s">
        <v>1425</v>
      </c>
      <c r="B4768" s="1" t="str">
        <f ca="1">IFERROR(__xludf.DUMFUNCTION("GOOGLETRANSLATE(A4915,""id"",""en"")")," Patra Niaga Strong Infrastructure System Supporting Salur Salar Salar Sasar Program")</f>
        <v xml:space="preserve"> Patra Niaga Strong Infrastructure System Supporting Salur Salar Salar Sasar Program</v>
      </c>
    </row>
    <row r="4769" spans="1:2" x14ac:dyDescent="0.2">
      <c r="A4769" s="1" t="s">
        <v>5326</v>
      </c>
      <c r="B4769" s="1" t="str">
        <f ca="1">IFERROR(__xludf.DUMFUNCTION("GOOGLETRANSLATE(A4916,""id"",""en"")"),"  Pertamax Bright Gas Yuk Join Friends of  's  GEPANASIK Giveaway")</f>
        <v xml:space="preserve">  Pertamax Bright Gas Yuk Join Friends of  's  GEPANASIK Giveaway</v>
      </c>
    </row>
    <row r="4770" spans="1:2" x14ac:dyDescent="0.2">
      <c r="A4770" s="1" t="s">
        <v>1696</v>
      </c>
      <c r="B4770" s="1" t="str">
        <f ca="1">IFERROR(__xludf.DUMFUNCTION("GOOGLETRANSLATE(A4917,""id"",""en"")"),"saving Rp.")</f>
        <v>saving Rp.</v>
      </c>
    </row>
    <row r="4771" spans="1:2" x14ac:dyDescent="0.2">
      <c r="A4771" s="1" t="s">
        <v>1697</v>
      </c>
      <c r="B4771" s="1" t="str">
        <f ca="1">IFERROR(__xludf.DUMFUNCTION("GOOGLETRANSLATE(A4918,""id"",""en"")"),"oh visit  mother, then I will take the number of queuing, sir, then I have already been done after that, I asked the hospital, which was close to , but I don't know it because the hospital is really close to ")</f>
        <v xml:space="preserve">oh visit  mother, then I will take the number of queuing, sir, then I have already been done after that, I asked the hospital, which was close to , but I don't know it because the hospital is really close to </v>
      </c>
    </row>
    <row r="4772" spans="1:2" x14ac:dyDescent="0.2">
      <c r="A4772" s="1" t="s">
        <v>1698</v>
      </c>
      <c r="B4772" s="1" t="str">
        <f ca="1">IFERROR(__xludf.DUMFUNCTION("GOOGLETRANSLATE(A4919,""id"",""en"")"),"Flat  Bright Gas Decreases Pertamax Let's Join Friends of  's  GEPANASIK Giveaway")</f>
        <v>Flat  Bright Gas Decreases Pertamax Let's Join Friends of  's  GEPANASIK Giveaway</v>
      </c>
    </row>
    <row r="4773" spans="1:2" x14ac:dyDescent="0.2">
      <c r="A4773" s="1" t="s">
        <v>1699</v>
      </c>
      <c r="B4773" s="1" t="str">
        <f ca="1">IFERROR(__xludf.DUMFUNCTION("GOOGLETRANSLATE(A4920,""id"",""en"")"),"One of the big IT projects that I participated in the digitalization of  was implemented if the projection helped to reduce the big subsidy")</f>
        <v>One of the big IT projects that I participated in the digitalization of  was implemented if the projection helped to reduce the big subsidy</v>
      </c>
    </row>
    <row r="4774" spans="1:2" x14ac:dyDescent="0.2">
      <c r="A4774" s="1" t="s">
        <v>1700</v>
      </c>
      <c r="B4774" s="1" t="str">
        <f ca="1">IFERROR(__xludf.DUMFUNCTION("GOOGLETRANSLATE(A4921,""id"",""en"")"),"then Amit for Amit  is explosive what uses for your mobile phone")</f>
        <v>then Amit for Amit  is explosive what uses for your mobile phone</v>
      </c>
    </row>
    <row r="4775" spans="1:2" x14ac:dyDescent="0.2">
      <c r="A4775" s="1" t="s">
        <v>1701</v>
      </c>
      <c r="B4775" s="1" t="str">
        <f ca="1">IFERROR(__xludf.DUMFUNCTION("GOOGLETRANSLATE(A4922,""id"",""en"")")," support")</f>
        <v xml:space="preserve"> support</v>
      </c>
    </row>
    <row r="4776" spans="1:2" x14ac:dyDescent="0.2">
      <c r="A4776" s="1" t="s">
        <v>559</v>
      </c>
      <c r="B4776" s="1" t="str">
        <f ca="1">IFERROR(__xludf.DUMFUNCTION("GOOGLETRANSLATE(A4923,""id"",""en"")"),"Set Amat Goblok Dar Close the news of bankruptcy capable of capable fields")</f>
        <v>Set Amat Goblok Dar Close the news of bankruptcy capable of capable fields</v>
      </c>
    </row>
    <row r="4777" spans="1:2" x14ac:dyDescent="0.2">
      <c r="A4777" s="1" t="s">
        <v>560</v>
      </c>
      <c r="B4777" s="1" t="str">
        <f ca="1">IFERROR(__xludf.DUMFUNCTION("GOOGLETRANSLATE(A4924,""id"",""en"")"),"This is great")</f>
        <v>This is great</v>
      </c>
    </row>
    <row r="4778" spans="1:2" x14ac:dyDescent="0.2">
      <c r="A4778" s="1" t="s">
        <v>5327</v>
      </c>
      <c r="B4778" s="1" t="str">
        <f ca="1">IFERROR(__xludf.DUMFUNCTION("GOOGLETRANSLATE(A4925,""id"",""en"")"),"Alas  is required to buy a solar pertalite using the  application")</f>
        <v>Alas  is required to buy a solar pertalite using the  application</v>
      </c>
    </row>
    <row r="4779" spans="1:2" x14ac:dyDescent="0.2">
      <c r="A4779" s="1" t="s">
        <v>560</v>
      </c>
      <c r="B4779" s="1" t="str">
        <f ca="1">IFERROR(__xludf.DUMFUNCTION("GOOGLETRANSLATE(A4926,""id"",""en"")"),"This is great")</f>
        <v>This is great</v>
      </c>
    </row>
    <row r="4780" spans="1:2" x14ac:dyDescent="0.2">
      <c r="A4780" s="1" t="s">
        <v>561</v>
      </c>
      <c r="B4780" s="1" t="str">
        <f ca="1">IFERROR(__xludf.DUMFUNCTION("GOOGLETRANSLATE(A4927,""id"",""en"")"),"buy fuel subsidies to set definitely the base of education to")</f>
        <v>buy fuel subsidies to set definitely the base of education to</v>
      </c>
    </row>
    <row r="4781" spans="1:2" x14ac:dyDescent="0.2">
      <c r="A4781" s="1" t="s">
        <v>1702</v>
      </c>
      <c r="B4781" s="1" t="str">
        <f ca="1">IFERROR(__xludf.DUMFUNCTION("GOOGLETRANSLATE(A4928,""id"",""en"")"),"not excited but lazy looking for why buy  amp solar hrs dftr website read")</f>
        <v>not excited but lazy looking for why buy  amp solar hrs dftr website read</v>
      </c>
    </row>
    <row r="4782" spans="1:2" x14ac:dyDescent="0.2">
      <c r="A4782" s="1" t="s">
        <v>5328</v>
      </c>
      <c r="B4782" s="1" t="str">
        <f ca="1">IFERROR(__xludf.DUMFUNCTION("GOOGLETRANSLATE(A4930,""id"",""en"")"),"make it difficult and then tubi tubi pasu from   cares of protected protected cuan then people scream")</f>
        <v>make it difficult and then tubi tubi pasu from   cares of protected protected cuan then people scream</v>
      </c>
    </row>
    <row r="4783" spans="1:2" x14ac:dyDescent="0.2">
      <c r="A4783" s="1" t="s">
        <v>5329</v>
      </c>
      <c r="B4783" s="1" t="str">
        <f ca="1">IFERROR(__xludf.DUMFUNCTION("GOOGLETRANSLATE(A4931,""id"",""en"")"),"Infony Hindar Buying Ecer Plis I have gasoline ecer tmpt I am quite  Kec  bkin buying Pertalite Pertasi Gasoline Ga Ga Gaoline just buying anter location application Location")</f>
        <v>Infony Hindar Buying Ecer Plis I have gasoline ecer tmpt I am quite  Kec  bkin buying Pertalite Pertasi Gasoline Ga Ga Gaoline just buying anter location application Location</v>
      </c>
    </row>
    <row r="4784" spans="1:2" x14ac:dyDescent="0.2">
      <c r="A4784" s="1" t="s">
        <v>5330</v>
      </c>
      <c r="B4784" s="1" t="str">
        <f ca="1">IFERROR(__xludf.DUMFUNCTION("GOOGLETRANSLATE(A4933,""id"",""en"")"),"Alas Mandatory  Buy Pertalite Solar ")</f>
        <v xml:space="preserve">Alas Mandatory  Buy Pertalite Solar </v>
      </c>
    </row>
    <row r="4785" spans="1:2" x14ac:dyDescent="0.2">
      <c r="A4785" s="1" t="s">
        <v>1703</v>
      </c>
      <c r="B4785" s="1" t="str">
        <f ca="1">IFERROR(__xludf.DUMFUNCTION("GOOGLETRANSLATE(A4934,""id"",""en"")"),"stupid really ")</f>
        <v xml:space="preserve">stupid really </v>
      </c>
    </row>
    <row r="4786" spans="1:2" x14ac:dyDescent="0.2">
      <c r="A4786" s="1" t="s">
        <v>1704</v>
      </c>
      <c r="B4786" s="1" t="str">
        <f ca="1">IFERROR(__xludf.DUMFUNCTION("GOOGLETRANSLATE(A4935,""id"",""en"")")," results from AAA brand rating")</f>
        <v xml:space="preserve"> results from AAA brand rating</v>
      </c>
    </row>
    <row r="4787" spans="1:2" x14ac:dyDescent="0.2">
      <c r="A4787" s="1" t="s">
        <v>1705</v>
      </c>
      <c r="B4787" s="1" t="str">
        <f ca="1">IFERROR(__xludf.DUMFUNCTION("GOOGLETRANSLATE(A4936,""id"",""en"")"),"Yes, I said just ngelanong  wkwkwkwk")</f>
        <v>Yes, I said just ngelanong  wkwkwkwk</v>
      </c>
    </row>
    <row r="4788" spans="1:2" x14ac:dyDescent="0.2">
      <c r="A4788" s="1" t="s">
        <v>1706</v>
      </c>
      <c r="B4788" s="1" t="str">
        <f ca="1">IFERROR(__xludf.DUMFUNCTION("GOOGLETRANSLATE(A4937,""id"",""en"")"),"if it's already good in the commut  kyai maruf the vice president of the shayton which is dead")</f>
        <v>if it's already good in the commut  kyai maruf the vice president of the shayton which is dead</v>
      </c>
    </row>
    <row r="4789" spans="1:2" x14ac:dyDescent="0.2">
      <c r="A4789" s="1" t="s">
        <v>1707</v>
      </c>
      <c r="B4789" s="1" t="str">
        <f ca="1">IFERROR(__xludf.DUMFUNCTION("GOOGLETRANSLATE(A4938,""id"",""en"")"),"The toll road already uses MLFF so that it doesn't queue  makes the pom queued")</f>
        <v>The toll road already uses MLFF so that it doesn't queue  makes the pom queued</v>
      </c>
    </row>
    <row r="4790" spans="1:2" x14ac:dyDescent="0.2">
      <c r="A4790" s="1" t="s">
        <v>1708</v>
      </c>
      <c r="B4790" s="1" t="str">
        <f ca="1">IFERROR(__xludf.DUMFUNCTION("GOOGLETRANSLATE(A4939,""id"",""en"")"),"wow  the best")</f>
        <v>wow  the best</v>
      </c>
    </row>
    <row r="4791" spans="1:2" x14ac:dyDescent="0.2">
      <c r="A4791" s="1" t="s">
        <v>1709</v>
      </c>
      <c r="B4791" s="1" t="str">
        <f ca="1">IFERROR(__xludf.DUMFUNCTION("GOOGLETRANSLATE(A4940,""id"",""en"")"),"For example, SOKOR is the fenservis, the level of the god, you can't say fens, just for a while, like a  office, burning the central police station.")</f>
        <v>For example, SOKOR is the fenservis, the level of the god, you can't say fens, just for a while, like a  office, burning the central police station.</v>
      </c>
    </row>
    <row r="4792" spans="1:2" x14ac:dyDescent="0.2">
      <c r="A4792" s="1" t="s">
        <v>1710</v>
      </c>
      <c r="B4792" s="1" t="str">
        <f ca="1">IFERROR(__xludf.DUMFUNCTION("GOOGLETRANSLATE(A4941,""id"",""en"")"),"Damn Morning Stomach Pain Funny queued to enter  Oebobo toilet until Kaka Miss Kasi Beta Ko Kasih Come in first night check the balance of the money tube is lost million")</f>
        <v>Damn Morning Stomach Pain Funny queued to enter  Oebobo toilet until Kaka Miss Kasi Beta Ko Kasih Come in first night check the balance of the money tube is lost million</v>
      </c>
    </row>
    <row r="4793" spans="1:2" x14ac:dyDescent="0.2">
      <c r="A4793" s="1" t="s">
        <v>5331</v>
      </c>
      <c r="B4793" s="1" t="str">
        <f ca="1">IFERROR(__xludf.DUMFUNCTION("GOOGLETRANSLATE(A4942,""id"",""en"")"),"Just buying Pertalite Solar July must use the    application gas station SPBU PASTAMINA PERTALITE SOLAR Malaysia Jordi Holywings Boikotaice Indra Bekti Prada Dikta  Khilafah Lontong")</f>
        <v>Just buying Pertalite Solar July must use the    application gas station SPBU PASTAMINA PERTALITE SOLAR Malaysia Jordi Holywings Boikotaice Indra Bekti Prada Dikta  Khilafah Lontong</v>
      </c>
    </row>
    <row r="4794" spans="1:2" x14ac:dyDescent="0.2">
      <c r="A4794" s="1" t="s">
        <v>1711</v>
      </c>
      <c r="B4794" s="1" t="str">
        <f ca="1">IFERROR(__xludf.DUMFUNCTION("GOOGLETRANSLATE(A4943,""id"",""en"")")," Entry of Top Strongest Oil Amp Gas Brand Mentap")</f>
        <v xml:space="preserve"> Entry of Top Strongest Oil Amp Gas Brand Mentap</v>
      </c>
    </row>
    <row r="4795" spans="1:2" x14ac:dyDescent="0.2">
      <c r="A4795" s="1" t="s">
        <v>562</v>
      </c>
      <c r="B4795" s="1" t="str">
        <f ca="1">IFERROR(__xludf.DUMFUNCTION("GOOGLETRANSLATE(A4944,""id"",""en"")"),"playing the cellphone area of ​​the gas station")</f>
        <v>playing the cellphone area of ​​the gas station</v>
      </c>
    </row>
    <row r="4796" spans="1:2" x14ac:dyDescent="0.2">
      <c r="A4796" s="1" t="s">
        <v>1712</v>
      </c>
      <c r="B4796" s="1" t="str">
        <f ca="1">IFERROR(__xludf.DUMFUNCTION("GOOGLETRANSLATE(A4945,""id"",""en"")"),"Sakti, this is the commissioner who makes a loss how much you are ")</f>
        <v xml:space="preserve">Sakti, this is the commissioner who makes a loss how much you are </v>
      </c>
    </row>
    <row r="4797" spans="1:2" x14ac:dyDescent="0.2">
      <c r="A4797" s="1" t="s">
        <v>5332</v>
      </c>
      <c r="B4797" s="1" t="str">
        <f ca="1">IFERROR(__xludf.DUMFUNCTION("GOOGLETRANSLATE(A4947,""id"",""en"")"),"    Telkomsel")</f>
        <v xml:space="preserve">    Telkomsel</v>
      </c>
    </row>
    <row r="4798" spans="1:2" x14ac:dyDescent="0.2">
      <c r="A4798" s="1" t="s">
        <v>1713</v>
      </c>
      <c r="B4798" s="1" t="str">
        <f ca="1">IFERROR(__xludf.DUMFUNCTION("GOOGLETRANSLATE(A4948,""id"",""en"")"),"Thank you friend, appreciation, let's support 's MSMEs forward, I hope Tony's success")</f>
        <v>Thank you friend, appreciation, let's support 's MSMEs forward, I hope Tony's success</v>
      </c>
    </row>
    <row r="4799" spans="1:2" x14ac:dyDescent="0.2">
      <c r="A4799" s="1" t="s">
        <v>5333</v>
      </c>
      <c r="B4799" s="1" t="str">
        <f ca="1">IFERROR(__xludf.DUMFUNCTION("GOOGLETRANSLATE(A4949,""id"",""en"")"),"List of Mandatory Regions to Use  Buy Pertalite Solar   Pertalite SPBU BBM BBM Malaysia Jordi Holywings Boikotaice Indra Bekti Prada Dikta  Khilafah Lontong")</f>
        <v>List of Mandatory Regions to Use  Buy Pertalite Solar   Pertalite SPBU BBM BBM Malaysia Jordi Holywings Boikotaice Indra Bekti Prada Dikta  Khilafah Lontong</v>
      </c>
    </row>
    <row r="4800" spans="1:2" x14ac:dyDescent="0.2">
      <c r="A4800" s="1" t="s">
        <v>5334</v>
      </c>
      <c r="B4800" s="1" t="str">
        <f ca="1">IFERROR(__xludf.DUMFUNCTION("GOOGLETRANSLATE(A4950,""id"",""en"")"),"Hey Adjust the  Salang List People Need a Smartphone Subsidy The  Research List    ")</f>
        <v xml:space="preserve">Hey Adjust the  Salang List People Need a Smartphone Subsidy The  Research List    </v>
      </c>
    </row>
    <row r="4801" spans="1:2" x14ac:dyDescent="0.2">
      <c r="A4801" s="1" t="s">
        <v>563</v>
      </c>
      <c r="B4801" s="1" t="str">
        <f ca="1">IFERROR(__xludf.DUMFUNCTION("GOOGLETRANSLATE(A4951,""id"",""en"")"),"ATMs are guarded by nonstop clocks")</f>
        <v>ATMs are guarded by nonstop clocks</v>
      </c>
    </row>
    <row r="4802" spans="1:2" x14ac:dyDescent="0.2">
      <c r="A4802" s="1" t="s">
        <v>5335</v>
      </c>
      <c r="B4802" s="1" t="str">
        <f ca="1">IFERROR(__xludf.DUMFUNCTION("GOOGLETRANSLATE(A4952,""id"",""en"")"),"The pretext of  loses trillion because the public does not use  apk why is")</f>
        <v>The pretext of  loses trillion because the public does not use  apk why is</v>
      </c>
    </row>
    <row r="4803" spans="1:2" x14ac:dyDescent="0.2">
      <c r="A4803" s="1" t="s">
        <v>1714</v>
      </c>
      <c r="B4803" s="1" t="str">
        <f ca="1">IFERROR(__xludf.DUMFUNCTION("GOOGLETRANSLATE(A4953,""id"",""en"")"),"Kill the Teaching of the PT  Pangkal Andan complex also sold directly at the hard hand of the nape of the victim due to the victim fainting, AKP Bram Candra")</f>
        <v>Kill the Teaching of the PT  Pangkal Andan complex also sold directly at the hard hand of the nape of the victim due to the victim fainting, AKP Bram Candra</v>
      </c>
    </row>
    <row r="4804" spans="1:2" x14ac:dyDescent="0.2">
      <c r="A4804" s="1" t="s">
        <v>5336</v>
      </c>
      <c r="B4804" s="1" t="str">
        <f ca="1">IFERROR(__xludf.DUMFUNCTION("GOOGLETRANSLATE(A4954,""id"",""en"")"),"JULI Buy Pertalite Solar Mandatory List of    Applications SPBU gas station Pertalite Solarflare Malaysiaopen Jordi Holywings Boikotaice Indra Bekti Prada Dikta ")</f>
        <v xml:space="preserve">JULI Buy Pertalite Solar Mandatory List of    Applications SPBU gas station Pertalite Solarflare Malaysiaopen Jordi Holywings Boikotaice Indra Bekti Prada Dikta </v>
      </c>
    </row>
    <row r="4805" spans="1:2" x14ac:dyDescent="0.2">
      <c r="A4805" s="1" t="s">
        <v>1715</v>
      </c>
      <c r="B4805" s="1" t="str">
        <f ca="1">IFERROR(__xludf.DUMFUNCTION("GOOGLETRANSLATE(A4955,""id"",""en"")")," UMKM  Besama UMKM")</f>
        <v xml:space="preserve"> UMKM  Besama UMKM</v>
      </c>
    </row>
    <row r="4806" spans="1:2" x14ac:dyDescent="0.2">
      <c r="A4806" s="1" t="s">
        <v>564</v>
      </c>
      <c r="B4806" s="1" t="str">
        <f ca="1">IFERROR(__xludf.DUMFUNCTION("GOOGLETRANSLATE(A4956,""id"",""en"")"),"Hello, don't use the gas station cellphone, cc")</f>
        <v>Hello, don't use the gas station cellphone, cc</v>
      </c>
    </row>
    <row r="4807" spans="1:2" x14ac:dyDescent="0.2">
      <c r="A4807" s="1" t="s">
        <v>5337</v>
      </c>
      <c r="B4807" s="1" t="str">
        <f ca="1">IFERROR(__xludf.DUMFUNCTION("GOOGLETRANSLATE(A4957,""id"",""en"")"),"If the angkot driver is required to email, send the QR QRODE APP ")</f>
        <v xml:space="preserve">If the angkot driver is required to email, send the QR QRODE APP </v>
      </c>
    </row>
    <row r="4808" spans="1:2" x14ac:dyDescent="0.2">
      <c r="A4808" s="1" t="s">
        <v>1716</v>
      </c>
      <c r="B4808" s="1" t="str">
        <f ca="1">IFERROR(__xludf.DUMFUNCTION("GOOGLETRANSLATE(A4958,""id"",""en"")"),"Since ahog, the Commissioner of  has loses trillion")</f>
        <v>Since ahog, the Commissioner of  has loses trillion</v>
      </c>
    </row>
    <row r="4809" spans="1:2" x14ac:dyDescent="0.2">
      <c r="A4809" s="1" t="s">
        <v>565</v>
      </c>
      <c r="B4809" s="1" t="str">
        <f ca="1">IFERROR(__xludf.DUMFUNCTION("GOOGLETRANSLATE(A4959,""id"",""en"")"),"Read Luh")</f>
        <v>Read Luh</v>
      </c>
    </row>
    <row r="4810" spans="1:2" x14ac:dyDescent="0.2">
      <c r="A4810" s="1" t="s">
        <v>5335</v>
      </c>
      <c r="B4810" s="1" t="str">
        <f ca="1">IFERROR(__xludf.DUMFUNCTION("GOOGLETRANSLATE(A4960,""id"",""en"")"),"The pretext of  loses trillion because the public does not use  apk why is")</f>
        <v>The pretext of  loses trillion because the public does not use  apk why is</v>
      </c>
    </row>
    <row r="4811" spans="1:2" x14ac:dyDescent="0.2">
      <c r="A4811" s="1" t="s">
        <v>566</v>
      </c>
      <c r="B4811" s="1" t="str">
        <f ca="1">IFERROR(__xludf.DUMFUNCTION("GOOGLETRANSLATE(A4961,""id"",""en"")"),"the face of the glibal energy world hopefully successfully success")</f>
        <v>the face of the glibal energy world hopefully successfully success</v>
      </c>
    </row>
    <row r="4812" spans="1:2" x14ac:dyDescent="0.2">
      <c r="A4812" s="1" t="s">
        <v>1717</v>
      </c>
      <c r="B4812" s="1" t="str">
        <f ca="1">IFERROR(__xludf.DUMFUNCTION("GOOGLETRANSLATE(A4962,""id"",""en"")"),"snapped 's ears")</f>
        <v>snapped 's ears</v>
      </c>
    </row>
    <row r="4813" spans="1:2" x14ac:dyDescent="0.2">
      <c r="A4813" s="1" t="s">
        <v>567</v>
      </c>
      <c r="B4813" s="1" t="str">
        <f ca="1">IFERROR(__xludf.DUMFUNCTION("GOOGLETRANSLATE(A4963,""id"",""en"")"),"waahh cool after the price of great pertagas")</f>
        <v>waahh cool after the price of great pertagas</v>
      </c>
    </row>
    <row r="4814" spans="1:2" x14ac:dyDescent="0.2">
      <c r="A4814" s="1" t="s">
        <v>5338</v>
      </c>
      <c r="B4814" s="1" t="str">
        <f ca="1">IFERROR(__xludf.DUMFUNCTION("GOOGLETRANSLATE(A4964,""id"",""en"")")," Patra Niaga Testing Pertalite Solar Trial for  Rights")</f>
        <v xml:space="preserve"> Patra Niaga Testing Pertalite Solar Trial for  Rights</v>
      </c>
    </row>
    <row r="4815" spans="1:2" x14ac:dyDescent="0.2">
      <c r="A4815" s="1" t="s">
        <v>568</v>
      </c>
      <c r="B4815" s="1" t="str">
        <f ca="1">IFERROR(__xludf.DUMFUNCTION("GOOGLETRANSLATE(A4965,""id"",""en"")"),"The QR scan uses an electromagnetic wave from the cellphone, lacks fuel measures for MBL not")</f>
        <v>The QR scan uses an electromagnetic wave from the cellphone, lacks fuel measures for MBL not</v>
      </c>
    </row>
    <row r="4816" spans="1:2" x14ac:dyDescent="0.2">
      <c r="A4816" s="1" t="s">
        <v>1718</v>
      </c>
      <c r="B4816" s="1" t="str">
        <f ca="1">IFERROR(__xludf.DUMFUNCTION("GOOGLETRANSLATE(A4966,""id"",""en"")"),"As a result of the Tai leading  Tai Tai Tai Lu Hok")</f>
        <v>As a result of the Tai leading  Tai Tai Tai Lu Hok</v>
      </c>
    </row>
    <row r="4817" spans="1:2" x14ac:dyDescent="0.2">
      <c r="A4817" s="1" t="s">
        <v>1719</v>
      </c>
      <c r="B4817" s="1" t="str">
        <f ca="1">IFERROR(__xludf.DUMFUNCTION("GOOGLETRANSLATE(A4967,""id"",""en"")"),"Basics of official information on  page trials buying solar subsidies pertal")</f>
        <v>Basics of official information on  page trials buying solar subsidies pertal</v>
      </c>
    </row>
    <row r="4818" spans="1:2" x14ac:dyDescent="0.2">
      <c r="A4818" s="1" t="s">
        <v>569</v>
      </c>
      <c r="B4818" s="1" t="str">
        <f ca="1">IFERROR(__xludf.DUMFUNCTION("GOOGLETRANSLATE(A4968,""id"",""en"")"),"Papua which is rice from West Java or DKI is news if the transportation of the Sendat Gin")</f>
        <v>Papua which is rice from West Java or DKI is news if the transportation of the Sendat Gin</v>
      </c>
    </row>
    <row r="4819" spans="1:2" x14ac:dyDescent="0.2">
      <c r="A4819" s="1" t="s">
        <v>5339</v>
      </c>
      <c r="B4819" s="1" t="str">
        <f ca="1">IFERROR(__xludf.DUMFUNCTION("GOOGLETRANSLATE(A4969,""id"",""en"")"),"Flat   Bright Gas Falls Pertamax Let's participate")</f>
        <v>Flat   Bright Gas Falls Pertamax Let's participate</v>
      </c>
    </row>
    <row r="4820" spans="1:2" x14ac:dyDescent="0.2">
      <c r="A4820" s="1" t="s">
        <v>570</v>
      </c>
      <c r="B4820" s="1" t="str">
        <f ca="1">IFERROR(__xludf.DUMFUNCTION("GOOGLETRANSLATE(A4970,""id"",""en"")"),"steady forward umkm indonesia")</f>
        <v>steady forward umkm indonesia</v>
      </c>
    </row>
    <row r="4821" spans="1:2" x14ac:dyDescent="0.2">
      <c r="A4821" s="1" t="s">
        <v>5340</v>
      </c>
      <c r="B4821" s="1" t="str">
        <f ca="1">IFERROR(__xludf.DUMFUNCTION("GOOGLETRANSLATE(A4971,""id"",""en"")"),"How do you respond to Balad  Pertalite ")</f>
        <v xml:space="preserve">How do you respond to Balad  Pertalite </v>
      </c>
    </row>
    <row r="4822" spans="1:2" x14ac:dyDescent="0.2">
      <c r="A4822" s="1" t="s">
        <v>5341</v>
      </c>
      <c r="B4822" s="1" t="str">
        <f ca="1">IFERROR(__xludf.DUMFUNCTION("GOOGLETRANSLATE(A4972,""id"",""en"")")," application requirements for buying fuel subsidies for solar pertalite")</f>
        <v xml:space="preserve"> application requirements for buying fuel subsidies for solar pertalite</v>
      </c>
    </row>
    <row r="4823" spans="1:2" x14ac:dyDescent="0.2">
      <c r="A4823" s="1" t="s">
        <v>571</v>
      </c>
      <c r="B4823" s="1" t="str">
        <f ca="1">IFERROR(__xludf.DUMFUNCTION("GOOGLETRANSLATE(A4973,""id"",""en"")"),"hey don't know pretending to not know the palm trucks using solar subsidies don't be stupid, why is a delicious solar subsidy that regulates the price of cooking oil.")</f>
        <v>hey don't know pretending to not know the palm trucks using solar subsidies don't be stupid, why is a delicious solar subsidy that regulates the price of cooking oil.</v>
      </c>
    </row>
    <row r="4824" spans="1:2" x14ac:dyDescent="0.2">
      <c r="A4824" s="1" t="s">
        <v>572</v>
      </c>
      <c r="B4824" s="1" t="str">
        <f ca="1">IFERROR(__xludf.DUMFUNCTION("GOOGLETRANSLATE(A4974,""id"",""en"")"),"Just a symbol of BBM Papua Bullshit")</f>
        <v>Just a symbol of BBM Papua Bullshit</v>
      </c>
    </row>
    <row r="4825" spans="1:2" x14ac:dyDescent="0.2">
      <c r="A4825" s="1" t="s">
        <v>1720</v>
      </c>
      <c r="B4825" s="1" t="str">
        <f ca="1">IFERROR(__xludf.DUMFUNCTION("GOOGLETRANSLATE(A4975,""id"",""en"")"),"yes, log out, sir, the results of 's commissioners because of the argument hehe")</f>
        <v>yes, log out, sir, the results of 's commissioners because of the argument hehe</v>
      </c>
    </row>
    <row r="4826" spans="1:2" x14ac:dyDescent="0.2">
      <c r="A4826" s="1" t="s">
        <v>573</v>
      </c>
      <c r="B4826" s="1" t="str">
        <f ca="1">IFERROR(__xludf.DUMFUNCTION("GOOGLETRANSLATE(A4976,""id"",""en"")"),"Min, who tries the city of Bandung, the public transportation driver is a public transportation driver, please buy a subsidized fuel")</f>
        <v>Min, who tries the city of Bandung, the public transportation driver is a public transportation driver, please buy a subsidized fuel</v>
      </c>
    </row>
    <row r="4827" spans="1:2" x14ac:dyDescent="0.2">
      <c r="A4827" s="1" t="s">
        <v>1721</v>
      </c>
      <c r="B4827" s="1" t="str">
        <f ca="1">IFERROR(__xludf.DUMFUNCTION("GOOGLETRANSLATE(A4977,""id"",""en"")")," boss is like that innovation in the field of a field bgmn")</f>
        <v xml:space="preserve"> boss is like that innovation in the field of a field bgmn</v>
      </c>
    </row>
    <row r="4828" spans="1:2" x14ac:dyDescent="0.2">
      <c r="A4828" s="1" t="s">
        <v>5342</v>
      </c>
      <c r="B4828" s="1" t="str">
        <f ca="1">IFERROR(__xludf.DUMFUNCTION("GOOGLETRANSLATE(A4978,""id"",""en"")")," Salar Salur Salur Mechanism Patra Niaga Initiative Test Initiative Test of Pertalite Solar Salur for the Rights of the  System List")</f>
        <v xml:space="preserve"> Salar Salur Salur Mechanism Patra Niaga Initiative Test Initiative Test of Pertalite Solar Salur for the Rights of the  System List</v>
      </c>
    </row>
    <row r="4829" spans="1:2" x14ac:dyDescent="0.2">
      <c r="A4829" s="1" t="s">
        <v>574</v>
      </c>
      <c r="B4829" s="1" t="str">
        <f ca="1">IFERROR(__xludf.DUMFUNCTION("GOOGLETRANSLATE(A4979,""id"",""en"")"),"This is really cool")</f>
        <v>This is really cool</v>
      </c>
    </row>
    <row r="4830" spans="1:2" x14ac:dyDescent="0.2">
      <c r="A4830" s="1" t="s">
        <v>575</v>
      </c>
      <c r="B4830" s="1" t="str">
        <f ca="1">IFERROR(__xludf.DUMFUNCTION("GOOGLETRANSLATE(A4980,""id"",""en"")"),"Ruwet Ajig Ruwet Goblok")</f>
        <v>Ruwet Ajig Ruwet Goblok</v>
      </c>
    </row>
    <row r="4831" spans="1:2" x14ac:dyDescent="0.2">
      <c r="A4831" s="1" t="s">
        <v>1722</v>
      </c>
      <c r="B4831" s="1" t="str">
        <f ca="1">IFERROR(__xludf.DUMFUNCTION("GOOGLETRANSLATE(A4981,""id"",""en"")"),"not the area of ​​ wrong strategy")</f>
        <v>not the area of ​​ wrong strategy</v>
      </c>
    </row>
    <row r="4832" spans="1:2" x14ac:dyDescent="0.2">
      <c r="A4832" s="1" t="s">
        <v>576</v>
      </c>
      <c r="B4832" s="1" t="str">
        <f ca="1">IFERROR(__xludf.DUMFUNCTION("GOOGLETRANSLATE(A4982,""id"",""en"")"),"easy to fill fuel just pay eh eh you tell you to install the application")</f>
        <v>easy to fill fuel just pay eh eh you tell you to install the application</v>
      </c>
    </row>
    <row r="4833" spans="1:2" x14ac:dyDescent="0.2">
      <c r="A4833" s="1" t="s">
        <v>1723</v>
      </c>
      <c r="B4833" s="1" t="str">
        <f ca="1">IFERROR(__xludf.DUMFUNCTION("GOOGLETRANSLATE(A4983,""id"",""en"")")," dick")</f>
        <v xml:space="preserve"> dick</v>
      </c>
    </row>
    <row r="4834" spans="1:2" x14ac:dyDescent="0.2">
      <c r="A4834" s="1" t="s">
        <v>1724</v>
      </c>
      <c r="B4834" s="1" t="str">
        <f ca="1">IFERROR(__xludf.DUMFUNCTION("GOOGLETRANSLATE(A4984,""id"",""en"")")," GA APPLICATION APPLICATION APPLICATION SYSTEM KILAFAH CHOOSE NAI")</f>
        <v xml:space="preserve"> GA APPLICATION APPLICATION APPLICATION SYSTEM KILAFAH CHOOSE NAI</v>
      </c>
    </row>
    <row r="4835" spans="1:2" x14ac:dyDescent="0.2">
      <c r="A4835" s="1" t="s">
        <v>1725</v>
      </c>
      <c r="B4835" s="1" t="str">
        <f ca="1">IFERROR(__xludf.DUMFUNCTION("GOOGLETRANSLATE(A4985,""id"",""en"")"),"wih so  the contents of people choose moral amp competent plus fantastic THP")</f>
        <v>wih so  the contents of people choose moral amp competent plus fantastic THP</v>
      </c>
    </row>
    <row r="4836" spans="1:2" x14ac:dyDescent="0.2">
      <c r="A4836" s="1" t="s">
        <v>5343</v>
      </c>
      <c r="B4836" s="1" t="str">
        <f ca="1">IFERROR(__xludf.DUMFUNCTION("GOOGLETRANSLATE(A4986,""id"",""en"")"),"Flat   Bright Gas Falls in Pertamax Let's Join the rjbt 's  GEPANASIK Giveaway")</f>
        <v>Flat   Bright Gas Falls in Pertamax Let's Join the rjbt 's  GEPANASIK Giveaway</v>
      </c>
    </row>
    <row r="4837" spans="1:2" x14ac:dyDescent="0.2">
      <c r="A4837" s="1" t="s">
        <v>1726</v>
      </c>
      <c r="B4837" s="1" t="str">
        <f ca="1">IFERROR(__xludf.DUMFUNCTION("GOOGLETRANSLATE(A4987,""id"",""en"")"),"Minister of BUMN Airlines Flying Pelita Air Service Millennial Subsidiary  Different Garuda Bangkitbersamaet Segments")</f>
        <v>Minister of BUMN Airlines Flying Pelita Air Service Millennial Subsidiary  Different Garuda Bangkitbersamaet Segments</v>
      </c>
    </row>
    <row r="4838" spans="1:2" x14ac:dyDescent="0.2">
      <c r="A4838" s="1" t="s">
        <v>577</v>
      </c>
      <c r="B4838" s="1" t="str">
        <f ca="1">IFERROR(__xludf.DUMFUNCTION("GOOGLETRANSLATE(A4988,""id"",""en"")"),"if queuing for solar junior high school, the shadow is not the distribution of food ingredients that are needed by the community")</f>
        <v>if queuing for solar junior high school, the shadow is not the distribution of food ingredients that are needed by the community</v>
      </c>
    </row>
    <row r="4839" spans="1:2" x14ac:dyDescent="0.2">
      <c r="A4839" s="1" t="s">
        <v>1727</v>
      </c>
      <c r="B4839" s="1" t="str">
        <f ca="1">IFERROR(__xludf.DUMFUNCTION("GOOGLETRANSLATE(A4989,""id"",""en"")"),"JM Entertainment Now Rambah ")</f>
        <v xml:space="preserve">JM Entertainment Now Rambah </v>
      </c>
    </row>
    <row r="4840" spans="1:2" x14ac:dyDescent="0.2">
      <c r="A4840" s="1" t="s">
        <v>1728</v>
      </c>
      <c r="B4840" s="1" t="str">
        <f ca="1">IFERROR(__xludf.DUMFUNCTION("GOOGLETRANSLATE(A4990,""id"",""en"")"),"down the price of Land Cruiser Hardtop Full Paper Tax On Gasoline Machine Completed Restoration Save Garage Rarely Using Jack Standan Ex Kolpri  Employee IDR JT Negotiable Hard Lok Cirebon WA")</f>
        <v>down the price of Land Cruiser Hardtop Full Paper Tax On Gasoline Machine Completed Restoration Save Garage Rarely Using Jack Standan Ex Kolpri  Employee IDR JT Negotiable Hard Lok Cirebon WA</v>
      </c>
    </row>
    <row r="4841" spans="1:2" x14ac:dyDescent="0.2">
      <c r="A4841" s="1" t="s">
        <v>1729</v>
      </c>
      <c r="B4841" s="1" t="str">
        <f ca="1">IFERROR(__xludf.DUMFUNCTION("GOOGLETRANSLATE(A4991,""id"",""en"")"),"Thank you to support , friend, let's support 's MSMEs forward, hopefully successfully Tony's success")</f>
        <v>Thank you to support , friend, let's support 's MSMEs forward, hopefully successfully Tony's success</v>
      </c>
    </row>
    <row r="4842" spans="1:2" x14ac:dyDescent="0.2">
      <c r="A4842" s="1" t="s">
        <v>1730</v>
      </c>
      <c r="B4842" s="1" t="str">
        <f ca="1">IFERROR(__xludf.DUMFUNCTION("GOOGLETRANSLATE(A4992,""id"",""en"")"),"Amin Moga 's refinery explosion")</f>
        <v>Amin Moga 's refinery explosion</v>
      </c>
    </row>
    <row r="4843" spans="1:2" x14ac:dyDescent="0.2">
      <c r="A4843" s="1" t="s">
        <v>1731</v>
      </c>
      <c r="B4843" s="1" t="str">
        <f ca="1">IFERROR(__xludf.DUMFUNCTION("GOOGLETRANSLATE(A4993,""id"",""en"")"),"WTB Jungmo ")</f>
        <v xml:space="preserve">WTB Jungmo </v>
      </c>
    </row>
    <row r="4844" spans="1:2" x14ac:dyDescent="0.2">
      <c r="A4844" s="1" t="s">
        <v>1732</v>
      </c>
      <c r="B4844" s="1" t="str">
        <f ca="1">IFERROR(__xludf.DUMFUNCTION("GOOGLETRANSLATE(A4994,""id"",""en"")"),"Kahirnya  select such a solar Pertalite Date of Socialization of the SPBU Test List")</f>
        <v>Kahirnya  select such a solar Pertalite Date of Socialization of the SPBU Test List</v>
      </c>
    </row>
    <row r="4845" spans="1:2" x14ac:dyDescent="0.2">
      <c r="A4845" s="1" t="s">
        <v>1733</v>
      </c>
      <c r="B4845" s="1" t="str">
        <f ca="1">IFERROR(__xludf.DUMFUNCTION("GOOGLETRANSLATE(A4995,""id"",""en"")")," Gas Station, a lack of rice fields, just imagine the rice fields carry the sickle when the gasoline is told to apply the Auto Pagah Praya application")</f>
        <v xml:space="preserve"> Gas Station, a lack of rice fields, just imagine the rice fields carry the sickle when the gasoline is told to apply the Auto Pagah Praya application</v>
      </c>
    </row>
    <row r="4846" spans="1:2" x14ac:dyDescent="0.2">
      <c r="A4846" s="1" t="s">
        <v>5344</v>
      </c>
      <c r="B4846" s="1" t="str">
        <f ca="1">IFERROR(__xludf.DUMFUNCTION("GOOGLETRANSLATE(A4996,""id"",""en"")"),"Different concept of fucking if Gojek Grab is indeed easy to open the way of the profit of the public if   TOD makes it complicated the purpose of the monitoring distribution must involve consumers")</f>
        <v>Different concept of fucking if Gojek Grab is indeed easy to open the way of the profit of the public if   TOD makes it complicated the purpose of the monitoring distribution must involve consumers</v>
      </c>
    </row>
    <row r="4847" spans="1:2" x14ac:dyDescent="0.2">
      <c r="A4847" s="1" t="s">
        <v>1734</v>
      </c>
      <c r="B4847" s="1" t="str">
        <f ca="1">IFERROR(__xludf.DUMFUNCTION("GOOGLETRANSLATE(A4997,""id"",""en"")"),"Anti -quota man, I hope  Nyediano Wifi Opo Tetirengan Mas Gpp")</f>
        <v>Anti -quota man, I hope  Nyediano Wifi Opo Tetirengan Mas Gpp</v>
      </c>
    </row>
    <row r="4848" spans="1:2" x14ac:dyDescent="0.2">
      <c r="A4848" s="1" t="s">
        <v>1735</v>
      </c>
      <c r="B4848" s="1" t="str">
        <f ca="1">IFERROR(__xludf.DUMFUNCTION("GOOGLETRANSLATE(A4998,""id"",""en"")"),"Love Kampung Wkwk  Mas")</f>
        <v>Love Kampung Wkwk  Mas</v>
      </c>
    </row>
    <row r="4849" spans="1:2" x14ac:dyDescent="0.2">
      <c r="A4849" s="1" t="s">
        <v>5345</v>
      </c>
      <c r="B4849" s="1" t="str">
        <f ca="1">IFERROR(__xludf.DUMFUNCTION("GOOGLETRANSLATE(A4999,""id"",""en"")"),"if you go home like you have to download   dlu nich")</f>
        <v>if you go home like you have to download   dlu nich</v>
      </c>
    </row>
    <row r="4850" spans="1:2" x14ac:dyDescent="0.2">
      <c r="A4850" s="1" t="s">
        <v>5346</v>
      </c>
      <c r="B4850" s="1" t="str">
        <f ca="1">IFERROR(__xludf.DUMFUNCTION("GOOGLETRANSLATE(A5000,""id"",""en"")"),"Sit Indonesia Million which is a million vehicle that makes the   application profit, hehehe")</f>
        <v>Sit Indonesia Million which is a million vehicle that makes the   application profit, hehehe</v>
      </c>
    </row>
    <row r="4851" spans="1:2" x14ac:dyDescent="0.2">
      <c r="A4851" s="1" t="s">
        <v>1736</v>
      </c>
      <c r="B4851" s="1" t="str">
        <f ca="1">IFERROR(__xludf.DUMFUNCTION("GOOGLETRANSLATE(A5001,""id"",""en"")"),"then use to make  profit")</f>
        <v>then use to make  profit</v>
      </c>
    </row>
    <row r="4852" spans="1:2" x14ac:dyDescent="0.2">
      <c r="A4852" s="1" t="s">
        <v>1737</v>
      </c>
      <c r="B4852" s="1" t="str">
        <f ca="1">IFERROR(__xludf.DUMFUNCTION("GOOGLETRANSLATE(A5002,""id"",""en"")")," Plumpang Depo, sis")</f>
        <v xml:space="preserve"> Plumpang Depo, sis</v>
      </c>
    </row>
    <row r="4853" spans="1:2" x14ac:dyDescent="0.2">
      <c r="A4853" s="1" t="s">
        <v>578</v>
      </c>
      <c r="B4853" s="1" t="str">
        <f ca="1">IFERROR(__xludf.DUMFUNCTION("GOOGLETRANSLATE(A5003,""id"",""en"")"),"the one doesn't tell the cellphone to fill the contents using the stupid aer")</f>
        <v>the one doesn't tell the cellphone to fill the contents using the stupid aer</v>
      </c>
    </row>
    <row r="4854" spans="1:2" x14ac:dyDescent="0.2">
      <c r="A4854" s="1" t="s">
        <v>5347</v>
      </c>
      <c r="B4854" s="1" t="str">
        <f ca="1">IFERROR(__xludf.DUMFUNCTION("GOOGLETRANSLATE(A5004,""id"",""en"")"),"Id Nik Data   Aman Cloning KTP Data People who need a presidential election")</f>
        <v>Id Nik Data   Aman Cloning KTP Data People who need a presidential election</v>
      </c>
    </row>
    <row r="4855" spans="1:2" x14ac:dyDescent="0.2">
      <c r="A4855" s="1" t="s">
        <v>579</v>
      </c>
      <c r="B4855" s="1" t="str">
        <f ca="1">IFERROR(__xludf.DUMFUNCTION("GOOGLETRANSLATE(A5005,""id"",""en"")"),"Complete Read Yes")</f>
        <v>Complete Read Yes</v>
      </c>
    </row>
    <row r="4856" spans="1:2" x14ac:dyDescent="0.2">
      <c r="A4856" s="1" t="s">
        <v>1738</v>
      </c>
      <c r="B4856" s="1" t="str">
        <f ca="1">IFERROR(__xludf.DUMFUNCTION("GOOGLETRANSLATE(A5006,""id"",""en"")"),"Minister of Motion BUMN BUMN PLN  Inalum Collaboration of Perus form")</f>
        <v>Minister of Motion BUMN BUMN PLN  Inalum Collaboration of Perus form</v>
      </c>
    </row>
    <row r="4857" spans="1:2" x14ac:dyDescent="0.2">
      <c r="A4857" s="1" t="s">
        <v>5348</v>
      </c>
      <c r="B4857" s="1" t="str">
        <f ca="1">IFERROR(__xludf.DUMFUNCTION("GOOGLETRANSLATE(A5007,""id"",""en"")"),"Terporns Using  Complete Application Data Base Type Kendara No Frame Change Consumer Number Plate No Sangkan")</f>
        <v>Terporns Using  Complete Application Data Base Type Kendara No Frame Change Consumer Number Plate No Sangkan</v>
      </c>
    </row>
    <row r="4858" spans="1:2" x14ac:dyDescent="0.2">
      <c r="A4858" s="1" t="s">
        <v>5349</v>
      </c>
      <c r="B4858" s="1" t="str">
        <f ca="1">IFERROR(__xludf.DUMFUNCTION("GOOGLETRANSLATE(A5008,""id"",""en"")"),"Rame Discuss  Consumers Consumers Criticism Safe Personal Data Guarantee Not When  fortunately to get data user needs BPJS efforts just leaked already already leaked")</f>
        <v>Rame Discuss  Consumers Consumers Criticism Safe Personal Data Guarantee Not When  fortunately to get data user needs BPJS efforts just leaked already already leaked</v>
      </c>
    </row>
    <row r="4859" spans="1:2" x14ac:dyDescent="0.2">
      <c r="A4859" s="1" t="s">
        <v>1634</v>
      </c>
      <c r="B4859" s="1" t="str">
        <f ca="1">IFERROR(__xludf.DUMFUNCTION("GOOGLETRANSLATE(A5009,""id"",""en"")"),"Tata Consumer List of Solar Subsidies  Energy Energy EnergyTodayid")</f>
        <v>Tata Consumer List of Solar Subsidies  Energy Energy EnergyTodayid</v>
      </c>
    </row>
    <row r="4860" spans="1:2" x14ac:dyDescent="0.2">
      <c r="A4860" s="1" t="s">
        <v>541</v>
      </c>
      <c r="B4860" s="1" t="str">
        <f ca="1">IFERROR(__xludf.DUMFUNCTION("GOOGLETRANSLATE(A5010,""id"",""en"")"),"please help cc info")</f>
        <v>please help cc info</v>
      </c>
    </row>
    <row r="4861" spans="1:2" x14ac:dyDescent="0.2">
      <c r="A4861" s="1" t="s">
        <v>5350</v>
      </c>
      <c r="B4861" s="1" t="str">
        <f ca="1">IFERROR(__xludf.DUMFUNCTION("GOOGLETRANSLATE(A5011,""id"",""en"")"),"really strange,   indo uses a motorbike car who understands the cellphone is whatever")</f>
        <v>really strange,   indo uses a motorbike car who understands the cellphone is whatever</v>
      </c>
    </row>
    <row r="4862" spans="1:2" x14ac:dyDescent="0.2">
      <c r="A4862" s="1" t="s">
        <v>1739</v>
      </c>
      <c r="B4862" s="1" t="str">
        <f ca="1">IFERROR(__xludf.DUMFUNCTION("GOOGLETRANSLATE(A5012,""id"",""en"")"),"already gausa buy  cok gasoline")</f>
        <v>already gausa buy  cok gasoline</v>
      </c>
    </row>
    <row r="4863" spans="1:2" x14ac:dyDescent="0.2">
      <c r="A4863" s="1" t="s">
        <v>1740</v>
      </c>
      <c r="B4863" s="1" t="str">
        <f ca="1">IFERROR(__xludf.DUMFUNCTION("GOOGLETRANSLATE(A5013,""id"",""en"")"),"The pig is really , just saying it deliberately makes it complicated so that  father is just a cellphone that pushed the touchcreen cellphone, so money again halaahh konttt")</f>
        <v>The pig is really , just saying it deliberately makes it complicated so that  father is just a cellphone that pushed the touchcreen cellphone, so money again halaahh konttt</v>
      </c>
    </row>
    <row r="4864" spans="1:2" x14ac:dyDescent="0.2">
      <c r="A4864" s="1" t="s">
        <v>5351</v>
      </c>
      <c r="B4864" s="1" t="str">
        <f ca="1">IFERROR(__xludf.DUMFUNCTION("GOOGLETRANSLATE(A5014,""id"",""en"")"),"Buy BBM Subsidies must list   yes control control of the Salang Salang which is a locking still satisfied answering friend")</f>
        <v>Buy BBM Subsidies must list   yes control control of the Salang Salang which is a locking still satisfied answering friend</v>
      </c>
    </row>
    <row r="4865" spans="1:2" x14ac:dyDescent="0.2">
      <c r="A4865" s="1" t="s">
        <v>5352</v>
      </c>
      <c r="B4865" s="1" t="str">
        <f ca="1">IFERROR(__xludf.DUMFUNCTION("GOOGLETRANSLATE(A5015,""id"",""en"")"),"today saw the news and  head was like hello  are you ok")</f>
        <v>today saw the news and  head was like hello  are you ok</v>
      </c>
    </row>
    <row r="4866" spans="1:2" x14ac:dyDescent="0.2">
      <c r="A4866" s="1" t="s">
        <v>1741</v>
      </c>
      <c r="B4866" s="1" t="str">
        <f ca="1">IFERROR(__xludf.DUMFUNCTION("GOOGLETRANSLATE(A5016,""id"",""en"")"),"Just say the common people don't buy pertalite amp giring buying Pertamax, fortunately  is purely ken, to convey the people")</f>
        <v>Just say the common people don't buy pertalite amp giring buying Pertamax, fortunately  is purely ken, to convey the people</v>
      </c>
    </row>
    <row r="4867" spans="1:2" x14ac:dyDescent="0.2">
      <c r="A4867" s="1" t="s">
        <v>580</v>
      </c>
      <c r="B4867" s="1" t="str">
        <f ca="1">IFERROR(__xludf.DUMFUNCTION("GOOGLETRANSLATE(A5017,""id"",""en"")"),"Forward Indonesian MSMEs")</f>
        <v>Forward Indonesian MSMEs</v>
      </c>
    </row>
    <row r="4868" spans="1:2" x14ac:dyDescent="0.2">
      <c r="A4868" s="1" t="s">
        <v>581</v>
      </c>
      <c r="B4868" s="1" t="str">
        <f ca="1">IFERROR(__xludf.DUMFUNCTION("GOOGLETRANSLATE(A5018,""id"",""en"")"),"right sophisticated the effort to keep the commitment of fuel subsidized bbm Salang.")</f>
        <v>right sophisticated the effort to keep the commitment of fuel subsidized bbm Salang.</v>
      </c>
    </row>
    <row r="4869" spans="1:2" x14ac:dyDescent="0.2">
      <c r="A4869" s="1" t="s">
        <v>1742</v>
      </c>
      <c r="B4869" s="1" t="str">
        <f ca="1">IFERROR(__xludf.DUMFUNCTION("GOOGLETRANSLATE(A5019,""id"",""en"")")," to Compensate Residents Who Help Clean Oil Spill")</f>
        <v xml:space="preserve"> to Compensate Residents Who Help Clean Oil Spill</v>
      </c>
    </row>
    <row r="4870" spans="1:2" x14ac:dyDescent="0.2">
      <c r="A4870" s="1" t="s">
        <v>5353</v>
      </c>
      <c r="B4870" s="1" t="str">
        <f ca="1">IFERROR(__xludf.DUMFUNCTION("GOOGLETRANSLATE(A5020,""id"",""en"")"),"July Therapy Provincial Buy Pertalite Solar   EnergyToday EnergyTodayid")</f>
        <v>July Therapy Provincial Buy Pertalite Solar   EnergyToday EnergyTodayid</v>
      </c>
    </row>
    <row r="4871" spans="1:2" x14ac:dyDescent="0.2">
      <c r="A4871" s="1" t="s">
        <v>5354</v>
      </c>
      <c r="B4871" s="1" t="str">
        <f ca="1">IFERROR(__xludf.DUMFUNCTION("GOOGLETRANSLATE(A5021,""id"",""en"")")," million target user apk  money")</f>
        <v xml:space="preserve"> million target user apk  money</v>
      </c>
    </row>
    <row r="4872" spans="1:2" x14ac:dyDescent="0.2">
      <c r="A4872" s="1" t="s">
        <v>5355</v>
      </c>
      <c r="B4872" s="1" t="str">
        <f ca="1">IFERROR(__xludf.DUMFUNCTION("GOOGLETRANSLATE(A5022,""id"",""en"")")," must buy fuel fuel for fuel oil subsidized type solar applications ")</f>
        <v xml:space="preserve"> must buy fuel fuel for fuel oil subsidized type solar applications </v>
      </c>
    </row>
    <row r="4873" spans="1:2" x14ac:dyDescent="0.2">
      <c r="A4873" s="1" t="s">
        <v>1743</v>
      </c>
      <c r="B4873" s="1" t="str">
        <f ca="1">IFERROR(__xludf.DUMFUNCTION("GOOGLETRANSLATE(A5023,""id"",""en"")"),"Remember the semester of college, the wrong  competition is stuck")</f>
        <v>Remember the semester of college, the wrong  competition is stuck</v>
      </c>
    </row>
    <row r="4874" spans="1:2" x14ac:dyDescent="0.2">
      <c r="A4874" s="1" t="s">
        <v>5356</v>
      </c>
      <c r="B4874" s="1" t="str">
        <f ca="1">IFERROR(__xludf.DUMFUNCTION("GOOGLETRANSLATE(A5024,""id"",""en"")"),"complicated buy diesel using  ")</f>
        <v xml:space="preserve">complicated buy diesel using  </v>
      </c>
    </row>
    <row r="4875" spans="1:2" x14ac:dyDescent="0.2">
      <c r="A4875" s="1" t="s">
        <v>582</v>
      </c>
      <c r="B4875" s="1" t="str">
        <f ca="1">IFERROR(__xludf.DUMFUNCTION("GOOGLETRANSLATE(A5025,""id"",""en"")"),"urgency of data list of buying pertalite to KTP number")</f>
        <v>urgency of data list of buying pertalite to KTP number</v>
      </c>
    </row>
    <row r="4876" spans="1:2" x14ac:dyDescent="0.2">
      <c r="A4876" s="1" t="s">
        <v>5357</v>
      </c>
      <c r="B4876" s="1" t="str">
        <f ca="1">IFERROR(__xludf.DUMFUNCTION("GOOGLETRANSLATE(A5027,""id"",""en"")"),"Pay using the link just print the receipt of   must be ready to be ready for the mature infrastructure.")</f>
        <v>Pay using the link just print the receipt of   must be ready to be ready for the mature infrastructure.</v>
      </c>
    </row>
    <row r="4877" spans="1:2" x14ac:dyDescent="0.2">
      <c r="A4877" s="1" t="s">
        <v>1744</v>
      </c>
      <c r="B4877" s="1" t="str">
        <f ca="1">IFERROR(__xludf.DUMFUNCTION("GOOGLETRANSLATE(A5028,""id"",""en"")"),"Appreciation Support Friend  Spirit Thank you friend Tony")</f>
        <v>Appreciation Support Friend  Spirit Thank you friend Tony</v>
      </c>
    </row>
    <row r="4878" spans="1:2" x14ac:dyDescent="0.2">
      <c r="A4878" s="1" t="s">
        <v>5358</v>
      </c>
      <c r="B4878" s="1" t="str">
        <f ca="1">IFERROR(__xludf.DUMFUNCTION("GOOGLETRANSLATE(A5029,""id"",""en"")"),"BUTUT   BIEU SERVICE MENI ERROR WAE TRANSACTION FAILURE")</f>
        <v>BUTUT   BIEU SERVICE MENI ERROR WAE TRANSACTION FAILURE</v>
      </c>
    </row>
    <row r="4879" spans="1:2" x14ac:dyDescent="0.2">
      <c r="A4879" s="1" t="s">
        <v>583</v>
      </c>
      <c r="B4879" s="1" t="str">
        <f ca="1">IFERROR(__xludf.DUMFUNCTION("GOOGLETRANSLATE(A5030,""id"",""en"")"),"Buy gasoline using the application, sorry, it's okay to turn on a cellphone when the gas station please educate the public to buy and selling gasoline safely on the cellphone")</f>
        <v>Buy gasoline using the application, sorry, it's okay to turn on a cellphone when the gas station please educate the public to buy and selling gasoline safely on the cellphone</v>
      </c>
    </row>
    <row r="4880" spans="1:2" x14ac:dyDescent="0.2">
      <c r="A4880" s="1" t="s">
        <v>1745</v>
      </c>
      <c r="B4880" s="1" t="str">
        <f ca="1">IFERROR(__xludf.DUMFUNCTION("GOOGLETRANSLATE(A5031,""id"",""en"")"),"not excited but lazy looking for why buy  amp solar hrs dftr website read the alas carefully understand yes do not understand the")</f>
        <v>not excited but lazy looking for why buy  amp solar hrs dftr website read the alas carefully understand yes do not understand the</v>
      </c>
    </row>
    <row r="4881" spans="1:2" x14ac:dyDescent="0.2">
      <c r="A4881" s="1" t="s">
        <v>1746</v>
      </c>
      <c r="B4881" s="1" t="str">
        <f ca="1">IFERROR(__xludf.DUMFUNCTION("GOOGLETRANSLATE(A5032,""id"",""en"")"),"I think if you use the internet, it's okay, the one who doesn't signal is SMS, just imagine the one who uses the debit, it's not the internet, not using the internet, it's true that  installs wifi")</f>
        <v>I think if you use the internet, it's okay, the one who doesn't signal is SMS, just imagine the one who uses the debit, it's not the internet, not using the internet, it's true that  installs wifi</v>
      </c>
    </row>
    <row r="4882" spans="1:2" x14ac:dyDescent="0.2">
      <c r="A4882" s="1" t="s">
        <v>1747</v>
      </c>
      <c r="B4882" s="1" t="str">
        <f ca="1">IFERROR(__xludf.DUMFUNCTION("GOOGLETRANSLATE(A5033,""id"",""en"")"),"Talking about the command ya kiai buy cooking oil using protection care buying pertalite using the  application")</f>
        <v>Talking about the command ya kiai buy cooking oil using protection care buying pertalite using the  application</v>
      </c>
    </row>
    <row r="4883" spans="1:2" x14ac:dyDescent="0.2">
      <c r="A4883" s="1" t="s">
        <v>1742</v>
      </c>
      <c r="B4883" s="1" t="str">
        <f ca="1">IFERROR(__xludf.DUMFUNCTION("GOOGLETRANSLATE(A5034,""id"",""en"")")," to Compensate Residents Who Help Clean Oil Spill")</f>
        <v xml:space="preserve"> to Compensate Residents Who Help Clean Oil Spill</v>
      </c>
    </row>
    <row r="4884" spans="1:2" x14ac:dyDescent="0.2">
      <c r="A4884" s="1" t="s">
        <v>1748</v>
      </c>
      <c r="B4884" s="1" t="str">
        <f ca="1">IFERROR(__xludf.DUMFUNCTION("GOOGLETRANSLATE(A5035,""id"",""en"")"),"Emotional Functional Benefits of 's Emotional Entering Top Strongest Oil Amp Gas Brand Brand Brand Finace  EnergyToday EnergyTodayid")</f>
        <v>Emotional Functional Benefits of 's Emotional Entering Top Strongest Oil Amp Gas Brand Brand Brand Finace  EnergyToday EnergyTodayid</v>
      </c>
    </row>
    <row r="4885" spans="1:2" x14ac:dyDescent="0.2">
      <c r="A4885" s="1" t="s">
        <v>584</v>
      </c>
      <c r="B4885" s="1" t="str">
        <f ca="1">IFERROR(__xludf.DUMFUNCTION("GOOGLETRANSLATE(A5036,""id"",""en"")"),"Good work")</f>
        <v>Good work</v>
      </c>
    </row>
    <row r="4886" spans="1:2" x14ac:dyDescent="0.2">
      <c r="A4886" s="1" t="s">
        <v>5359</v>
      </c>
      <c r="B4886" s="1" t="str">
        <f ca="1">IFERROR(__xludf.DUMFUNCTION("GOOGLETRANSLATE(A5037,""id"",""en"")")," prohibits the cellphone, tell me to download the  gin application")</f>
        <v xml:space="preserve"> prohibits the cellphone, tell me to download the  gin application</v>
      </c>
    </row>
    <row r="4887" spans="1:2" x14ac:dyDescent="0.2">
      <c r="A4887" s="1" t="s">
        <v>585</v>
      </c>
      <c r="B4887" s="1" t="str">
        <f ca="1">IFERROR(__xludf.DUMFUNCTION("GOOGLETRANSLATE(A5038,""id"",""en"")"),"go to")</f>
        <v>go to</v>
      </c>
    </row>
    <row r="4888" spans="1:2" x14ac:dyDescent="0.2">
      <c r="A4888" s="1" t="s">
        <v>586</v>
      </c>
      <c r="B4888" s="1" t="str">
        <f ca="1">IFERROR(__xludf.DUMFUNCTION("GOOGLETRANSLATE(A5039,""id"",""en"")"),"Buy BBM Subsidies SUPPLY SURE EDUCATION ALAS PSTS PSTHERS WHICH WHICH RIGHT PERTALITE AMP SOLAR LOOK YES")</f>
        <v>Buy BBM Subsidies SUPPLY SURE EDUCATION ALAS PSTS PSTHERS WHICH WHICH RIGHT PERTALITE AMP SOLAR LOOK YES</v>
      </c>
    </row>
    <row r="4889" spans="1:2" x14ac:dyDescent="0.2">
      <c r="A4889" s="1" t="s">
        <v>5360</v>
      </c>
      <c r="B4889" s="1" t="str">
        <f ca="1">IFERROR(__xludf.DUMFUNCTION("GOOGLETRANSLATE(A5040,""id"",""en"")"),"Formerly, the world of psychology really wanted to be a different way for  psychology")</f>
        <v>Formerly, the world of psychology really wanted to be a different way for  psychology</v>
      </c>
    </row>
    <row r="4890" spans="1:2" x14ac:dyDescent="0.2">
      <c r="A4890" s="1" t="s">
        <v>1749</v>
      </c>
      <c r="B4890" s="1" t="str">
        <f ca="1">IFERROR(__xludf.DUMFUNCTION("GOOGLETRANSLATE(A5041,""id"",""en"")"),"not the public effort until quoting the  website read the font article, please understand that the response belongs to worry about the personal data nik")</f>
        <v>not the public effort until quoting the  website read the font article, please understand that the response belongs to worry about the personal data nik</v>
      </c>
    </row>
    <row r="4891" spans="1:2" x14ac:dyDescent="0.2">
      <c r="A4891" s="1" t="s">
        <v>5361</v>
      </c>
      <c r="B4891" s="1" t="str">
        <f ca="1">IFERROR(__xludf.DUMFUNCTION("GOOGLETRANSLATE(A5042,""id"",""en"")"),"Iki Tenan Po Kudu Using  ")</f>
        <v xml:space="preserve">Iki Tenan Po Kudu Using  </v>
      </c>
    </row>
    <row r="4892" spans="1:2" x14ac:dyDescent="0.2">
      <c r="A4892" s="1" t="s">
        <v>1750</v>
      </c>
      <c r="B4892" s="1" t="str">
        <f ca="1">IFERROR(__xludf.DUMFUNCTION("GOOGLETRANSLATE(A5043,""id"",""en"")")," Patra Niaga Testing Pertalite Solar Trial for the List of  EnergyToday EnergyTodayid")</f>
        <v xml:space="preserve"> Patra Niaga Testing Pertalite Solar Trial for the List of  EnergyToday EnergyTodayid</v>
      </c>
    </row>
    <row r="4893" spans="1:2" x14ac:dyDescent="0.2">
      <c r="A4893" s="1" t="s">
        <v>1751</v>
      </c>
      <c r="B4893" s="1" t="str">
        <f ca="1">IFERROR(__xludf.DUMFUNCTION("GOOGLETRANSLATE(A5044,""id"",""en"")"),"just pp so that the donor remains ")</f>
        <v xml:space="preserve">just pp so that the donor remains </v>
      </c>
    </row>
    <row r="4894" spans="1:2" x14ac:dyDescent="0.2">
      <c r="A4894" s="1" t="s">
        <v>5362</v>
      </c>
      <c r="B4894" s="1" t="str">
        <f ca="1">IFERROR(__xludf.DUMFUNCTION("GOOGLETRANSLATE(A5045,""id"",""en"")"),"When I go to work, the contents of the gasoline, look at people, open the seat, wait for the seat, just close the seat, not comfortable opening the cellphone, open  , just open the link if the balance runs out of the topup")</f>
        <v>When I go to work, the contents of the gasoline, look at people, open the seat, wait for the seat, just close the seat, not comfortable opening the cellphone, open  , just open the link if the balance runs out of the topup</v>
      </c>
    </row>
    <row r="4895" spans="1:2" x14ac:dyDescent="0.2">
      <c r="A4895" s="1" t="s">
        <v>1752</v>
      </c>
      <c r="B4895" s="1" t="str">
        <f ca="1">IFERROR(__xludf.DUMFUNCTION("GOOGLETRANSLATE(A5046,""id"",""en"")"),"Definitely  is prepared, you know where  has prepared evidence of the sampean sampean opo piye argument that is subjective")</f>
        <v>Definitely  is prepared, you know where  has prepared evidence of the sampean sampean opo piye argument that is subjective</v>
      </c>
    </row>
    <row r="4896" spans="1:2" x14ac:dyDescent="0.2">
      <c r="A4896" s="1" t="s">
        <v>587</v>
      </c>
      <c r="B4896" s="1" t="str">
        <f ca="1">IFERROR(__xludf.DUMFUNCTION("GOOGLETRANSLATE(A5047,""id"",""en"")"),"how many cheap gas stations are cheap.")</f>
        <v>how many cheap gas stations are cheap.</v>
      </c>
    </row>
    <row r="4897" spans="1:2" x14ac:dyDescent="0.2">
      <c r="A4897" s="1" t="s">
        <v>1753</v>
      </c>
      <c r="B4897" s="1" t="str">
        <f ca="1">IFERROR(__xludf.DUMFUNCTION("GOOGLETRANSLATE(A5048,""id"",""en"")")," Iki business doesn't take wise")</f>
        <v xml:space="preserve"> Iki business doesn't take wise</v>
      </c>
    </row>
    <row r="4898" spans="1:2" x14ac:dyDescent="0.2">
      <c r="A4898" s="1" t="s">
        <v>1754</v>
      </c>
      <c r="B4898" s="1" t="str">
        <f ca="1">IFERROR(__xludf.DUMFUNCTION("GOOGLETRANSLATE(A5049,""id"",""en"")"),"just according to the official website of  Plus add education socialization that is easy to reach the Instagram community, the community understands, yes, please, now, it's easy to understand")</f>
        <v>just according to the official website of  Plus add education socialization that is easy to reach the Instagram community, the community understands, yes, please, now, it's easy to understand</v>
      </c>
    </row>
    <row r="4899" spans="1:2" x14ac:dyDescent="0.2">
      <c r="A4899" s="1" t="s">
        <v>1755</v>
      </c>
      <c r="B4899" s="1" t="str">
        <f ca="1">IFERROR(__xludf.DUMFUNCTION("GOOGLETRANSLATE(A5050,""id"",""en"")"),"a wkwk sister ki work  when people designed wisely if the argument of  will be a perfect business")</f>
        <v>a wkwk sister ki work  when people designed wisely if the argument of  will be a perfect business</v>
      </c>
    </row>
    <row r="4900" spans="1:2" x14ac:dyDescent="0.2">
      <c r="A4900" s="1" t="s">
        <v>1756</v>
      </c>
      <c r="B4900" s="1" t="str">
        <f ca="1">IFERROR(__xludf.DUMFUNCTION("GOOGLETRANSLATE(A5051,""id"",""en"")"),"a special work like an upstream business upstream of SKK Migas SKK Migas PT  EP Cepu Zone Drilling Oil wells in Sorong Regency, West Papua Province")</f>
        <v>a special work like an upstream business upstream of SKK Migas SKK Migas PT  EP Cepu Zone Drilling Oil wells in Sorong Regency, West Papua Province</v>
      </c>
    </row>
    <row r="4901" spans="1:2" x14ac:dyDescent="0.2">
      <c r="A4901" s="1" t="s">
        <v>588</v>
      </c>
      <c r="B4901" s="1" t="str">
        <f ca="1">IFERROR(__xludf.DUMFUNCTION("GOOGLETRANSLATE(A5052,""id"",""en"")"),"emg gas station then the meaning of the hp gambut is scribbling for the ap jd boong hp")</f>
        <v>emg gas station then the meaning of the hp gambut is scribbling for the ap jd boong hp</v>
      </c>
    </row>
    <row r="4902" spans="1:2" x14ac:dyDescent="0.2">
      <c r="A4902" s="1" t="s">
        <v>589</v>
      </c>
      <c r="B4902" s="1" t="str">
        <f ca="1">IFERROR(__xludf.DUMFUNCTION("GOOGLETRANSLATE(A5053,""id"",""en"")"),"yes the energy of the Papua area from the electricity fuel etc.")</f>
        <v>yes the energy of the Papua area from the electricity fuel etc.</v>
      </c>
    </row>
    <row r="4903" spans="1:2" x14ac:dyDescent="0.2">
      <c r="A4903" s="1" t="s">
        <v>590</v>
      </c>
      <c r="B4903" s="1" t="str">
        <f ca="1">IFERROR(__xludf.DUMFUNCTION("GOOGLETRANSLATE(A5054,""id"",""en"")"),"lha stock of scalled scale is friendly")</f>
        <v>lha stock of scalled scale is friendly</v>
      </c>
    </row>
    <row r="4904" spans="1:2" x14ac:dyDescent="0.2">
      <c r="A4904" s="1" t="s">
        <v>1757</v>
      </c>
      <c r="B4904" s="1" t="str">
        <f ca="1">IFERROR(__xludf.DUMFUNCTION("GOOGLETRANSLATE(A5055,""id"",""en"")"),"unfortunately the level of the president of  thinks the kindergarten boy thinks the fishermen farmer erti is the digital world, the internet is a strong area of ​​the danger of a gas station, a gas station")</f>
        <v>unfortunately the level of the president of  thinks the kindergarten boy thinks the fishermen farmer erti is the digital world, the internet is a strong area of ​​the danger of a gas station, a gas station</v>
      </c>
    </row>
    <row r="4905" spans="1:2" x14ac:dyDescent="0.2">
      <c r="A4905" s="1" t="s">
        <v>5363</v>
      </c>
      <c r="B4905" s="1" t="str">
        <f ca="1">IFERROR(__xludf.DUMFUNCTION("GOOGLETRANSLATE(A5056,""id"",""en"")"),"better read the article that explains the mechanism of work is wise suprisingly I have signed   read if the wheels")</f>
        <v>better read the article that explains the mechanism of work is wise suprisingly I have signed   read if the wheels</v>
      </c>
    </row>
    <row r="4906" spans="1:2" x14ac:dyDescent="0.2">
      <c r="A4906" s="1" t="s">
        <v>1577</v>
      </c>
      <c r="B4906" s="1" t="str">
        <f ca="1">IFERROR(__xludf.DUMFUNCTION("GOOGLETRANSLATE(A5057,""id"",""en"")")," Sasar Subsidy Level Testing Pertalite Solar Trials to List of Wishag Roads smoothly")</f>
        <v xml:space="preserve"> Sasar Subsidy Level Testing Pertalite Solar Trials to List of Wishag Roads smoothly</v>
      </c>
    </row>
    <row r="4907" spans="1:2" x14ac:dyDescent="0.2">
      <c r="A4907" s="1" t="s">
        <v>1758</v>
      </c>
      <c r="B4907" s="1" t="str">
        <f ca="1">IFERROR(__xludf.DUMFUNCTION("GOOGLETRANSLATE(A5058,""id"",""en"")")," sells loss")</f>
        <v xml:space="preserve"> sells loss</v>
      </c>
    </row>
    <row r="4908" spans="1:2" x14ac:dyDescent="0.2">
      <c r="A4908" s="1" t="s">
        <v>5364</v>
      </c>
      <c r="B4908" s="1" t="str">
        <f ca="1">IFERROR(__xludf.DUMFUNCTION("GOOGLETRANSLATE(A5059,""id"",""en"")"),"by using the  application, it makes  fortunately monopoly but still lose wisely")</f>
        <v>by using the  application, it makes  fortunately monopoly but still lose wisely</v>
      </c>
    </row>
    <row r="4909" spans="1:2" x14ac:dyDescent="0.2">
      <c r="A4909" s="1" t="s">
        <v>1759</v>
      </c>
      <c r="B4909" s="1" t="str">
        <f ca="1">IFERROR(__xludf.DUMFUNCTION("GOOGLETRANSLATE(A5060,""id"",""en"")"),"spill cilacap river spilling oil ")</f>
        <v xml:space="preserve">spill cilacap river spilling oil </v>
      </c>
    </row>
    <row r="4910" spans="1:2" x14ac:dyDescent="0.2">
      <c r="A4910" s="1" t="s">
        <v>5365</v>
      </c>
      <c r="B4910" s="1" t="str">
        <f ca="1">IFERROR(__xludf.DUMFUNCTION("GOOGLETRANSLATE(A5061,""id"",""en"")"),"PT  Patra Niaga Regional West Java Test Transaction Pertalite Solar Via  BeltalitePakai")</f>
        <v>PT  Patra Niaga Regional West Java Test Transaction Pertalite Solar Via  BeltalitePakai</v>
      </c>
    </row>
    <row r="4911" spans="1:2" x14ac:dyDescent="0.2">
      <c r="A4911" s="1" t="s">
        <v>5366</v>
      </c>
      <c r="B4911" s="1" t="str">
        <f ca="1">IFERROR(__xludf.DUMFUNCTION("GOOGLETRANSLATE(A5062,""id"",""en"")"),"the idea of ​​making  app   application is the application of the lack of pushing that just bought yaudaaaasih, just use it using a protected pedul")</f>
        <v>the idea of ​​making  app   application is the application of the lack of pushing that just bought yaudaaaasih, just use it using a protected pedul</v>
      </c>
    </row>
    <row r="4912" spans="1:2" x14ac:dyDescent="0.2">
      <c r="A4912" s="1" t="s">
        <v>1760</v>
      </c>
      <c r="B4912" s="1" t="str">
        <f ca="1">IFERROR(__xludf.DUMFUNCTION("GOOGLETRANSLATE(A5063,""id"",""en"")"),"Menrut the articles that I read is not a list of web lists that  approve the QR Code NNI QR Code that is used to buy the solar pertalite, right?")</f>
        <v>Menrut the articles that I read is not a list of web lists that  approve the QR Code NNI QR Code that is used to buy the solar pertalite, right?</v>
      </c>
    </row>
    <row r="4913" spans="1:2" x14ac:dyDescent="0.2">
      <c r="A4913" s="1" t="s">
        <v>5367</v>
      </c>
      <c r="B4913" s="1" t="str">
        <f ca="1">IFERROR(__xludf.DUMFUNCTION("GOOGLETRANSLATE(A5064,""id"",""en"")"),"then forbid the command of lack of sitting Indonesia deliberately the explosive gas station  Negerilucu Viral  Golangtweet was stunned")</f>
        <v>then forbid the command of lack of sitting Indonesia deliberately the explosive gas station  Negerilucu Viral  Golangtweet was stunned</v>
      </c>
    </row>
    <row r="4914" spans="1:2" x14ac:dyDescent="0.2">
      <c r="A4914" s="1" t="s">
        <v>5368</v>
      </c>
      <c r="B4914" s="1" t="str">
        <f ca="1">IFERROR(__xludf.DUMFUNCTION("GOOGLETRANSLATE(A5065,""id"",""en"")"),"Min, just pay   link, the digital wallet")</f>
        <v>Min, just pay   link, the digital wallet</v>
      </c>
    </row>
    <row r="4915" spans="1:2" x14ac:dyDescent="0.2">
      <c r="A4915" s="1" t="s">
        <v>591</v>
      </c>
      <c r="B4915" s="1" t="str">
        <f ca="1">IFERROR(__xludf.DUMFUNCTION("GOOGLETRANSLATE(A5066,""id"",""en"")"),"yes the energy of the Papua area from electricity, etc. needs Papua community")</f>
        <v>yes the energy of the Papua area from electricity, etc. needs Papua community</v>
      </c>
    </row>
    <row r="4916" spans="1:2" x14ac:dyDescent="0.2">
      <c r="A4916" s="1" t="s">
        <v>1761</v>
      </c>
      <c r="B4916" s="1" t="str">
        <f ca="1">IFERROR(__xludf.DUMFUNCTION("GOOGLETRANSLATE(A5067,""id"",""en"")")," urinating using a brodol application")</f>
        <v xml:space="preserve"> urinating using a brodol application</v>
      </c>
    </row>
    <row r="4917" spans="1:2" x14ac:dyDescent="0.2">
      <c r="A4917" s="1" t="s">
        <v>1762</v>
      </c>
      <c r="B4917" s="1" t="str">
        <f ca="1">IFERROR(__xludf.DUMFUNCTION("GOOGLETRANSLATE(A5068,""id"",""en"")"),"Get a profit of the event apps, the rockets of oil prices like ")</f>
        <v xml:space="preserve">Get a profit of the event apps, the rockets of oil prices like </v>
      </c>
    </row>
    <row r="4918" spans="1:2" x14ac:dyDescent="0.2">
      <c r="A4918" s="1" t="s">
        <v>1763</v>
      </c>
      <c r="B4918" s="1" t="str">
        <f ca="1">IFERROR(__xludf.DUMFUNCTION("GOOGLETRANSLATE(A5069,""id"",""en"")"),"Minister of BUMN Airlines Flying Pelita Air Service Millennial Subsidiaries ")</f>
        <v xml:space="preserve">Minister of BUMN Airlines Flying Pelita Air Service Millennial Subsidiaries </v>
      </c>
    </row>
    <row r="4919" spans="1:2" x14ac:dyDescent="0.2">
      <c r="A4919" s="1" t="s">
        <v>5369</v>
      </c>
      <c r="B4919" s="1" t="str">
        <f ca="1">IFERROR(__xludf.DUMFUNCTION("GOOGLETRANSLATE(A5070,""id"",""en"")"),"Weigh using the  Application Effective Fortunately Download the Empty Memory Memory Balance Full Hp Battery Hp After the Internet Quota Signal Returns to Forbid Playing Hp SPBU")</f>
        <v>Weigh using the  Application Effective Fortunately Download the Empty Memory Memory Balance Full Hp Battery Hp After the Internet Quota Signal Returns to Forbid Playing Hp SPBU</v>
      </c>
    </row>
    <row r="4920" spans="1:2" x14ac:dyDescent="0.2">
      <c r="A4920" s="1" t="s">
        <v>5370</v>
      </c>
      <c r="B4920" s="1" t="str">
        <f ca="1">IFERROR(__xludf.DUMFUNCTION("GOOGLETRANSLATE(A5071,""id"",""en"")"),"  the balance sis, I don't pay the manual")</f>
        <v xml:space="preserve">  the balance sis, I don't pay the manual</v>
      </c>
    </row>
    <row r="4921" spans="1:2" x14ac:dyDescent="0.2">
      <c r="A4921" s="1" t="s">
        <v>1764</v>
      </c>
      <c r="B4921" s="1" t="str">
        <f ca="1">IFERROR(__xludf.DUMFUNCTION("GOOGLETRANSLATE(A5072,""id"",""en"")")," continued, the program was really good")</f>
        <v xml:space="preserve"> continued, the program was really good</v>
      </c>
    </row>
    <row r="4922" spans="1:2" x14ac:dyDescent="0.2">
      <c r="A4922" s="1" t="s">
        <v>1765</v>
      </c>
      <c r="B4922" s="1" t="str">
        <f ca="1">IFERROR(__xludf.DUMFUNCTION("GOOGLETRANSLATE(A5073,""id"",""en"")"),"Wait  Selling PLN SPBU Selling Gardu")</f>
        <v>Wait  Selling PLN SPBU Selling Gardu</v>
      </c>
    </row>
    <row r="4923" spans="1:2" x14ac:dyDescent="0.2">
      <c r="A4923" s="1" t="s">
        <v>5371</v>
      </c>
      <c r="B4923" s="1" t="str">
        <f ca="1">IFERROR(__xludf.DUMFUNCTION("GOOGLETRANSLATE(A5074,""id"",""en"")"),"parents told me to download   hp aing supporting downloading apk alias this cellphone storage rooms have finished borrowing mobile phones, the mobile phone is tested as if you want to list")</f>
        <v>parents told me to download   hp aing supporting downloading apk alias this cellphone storage rooms have finished borrowing mobile phones, the mobile phone is tested as if you want to list</v>
      </c>
    </row>
    <row r="4924" spans="1:2" x14ac:dyDescent="0.2">
      <c r="A4924" s="1" t="s">
        <v>1766</v>
      </c>
      <c r="B4924" s="1" t="str">
        <f ca="1">IFERROR(__xludf.DUMFUNCTION("GOOGLETRANSLATE(A5075,""id"",""en"")"),"'s sea spill oil is investigated because")</f>
        <v>'s sea spill oil is investigated because</v>
      </c>
    </row>
    <row r="4925" spans="1:2" x14ac:dyDescent="0.2">
      <c r="A4925" s="1" t="s">
        <v>1767</v>
      </c>
      <c r="B4925" s="1" t="str">
        <f ca="1">IFERROR(__xludf.DUMFUNCTION("GOOGLETRANSLATE(A5076,""id"",""en"")"),"mah pertamini the regional government of the kek kek snail times also the proker  makes POM POM INDO OIL BUSINESS POINT CMN  Foreign Oil Business GK Enter Indo")</f>
        <v>mah pertamini the regional government of the kek kek snail times also the proker  makes POM POM INDO OIL BUSINESS POINT CMN  Foreign Oil Business GK Enter Indo</v>
      </c>
    </row>
    <row r="4926" spans="1:2" x14ac:dyDescent="0.2">
      <c r="A4926" s="1" t="s">
        <v>592</v>
      </c>
      <c r="B4926" s="1" t="str">
        <f ca="1">IFERROR(__xludf.DUMFUNCTION("GOOGLETRANSLATE(A5077,""id"",""en"")"),"Pertalite is better to specifically motorbikes if a private car is better to ban")</f>
        <v>Pertalite is better to specifically motorbikes if a private car is better to ban</v>
      </c>
    </row>
    <row r="4927" spans="1:2" x14ac:dyDescent="0.2">
      <c r="A4927" s="1" t="s">
        <v>593</v>
      </c>
      <c r="B4927" s="1" t="str">
        <f ca="1">IFERROR(__xludf.DUMFUNCTION("GOOGLETRANSLATE(A5078,""id"",""en"")"),"very template you min")</f>
        <v>very template you min</v>
      </c>
    </row>
    <row r="4928" spans="1:2" x14ac:dyDescent="0.2">
      <c r="A4928" s="1" t="s">
        <v>594</v>
      </c>
      <c r="B4928" s="1" t="str">
        <f ca="1">IFERROR(__xludf.DUMFUNCTION("GOOGLETRANSLATE(A5079,""id"",""en"")"),"wise freak")</f>
        <v>wise freak</v>
      </c>
    </row>
    <row r="4929" spans="1:2" x14ac:dyDescent="0.2">
      <c r="A4929" s="1" t="s">
        <v>1768</v>
      </c>
      <c r="B4929" s="1" t="str">
        <f ca="1">IFERROR(__xludf.DUMFUNCTION("GOOGLETRANSLATE(A5080,""id"",""en"")"),"Duh Sad  Stupid Energy Attitudes Electric Cars that are simple in complicated ")</f>
        <v xml:space="preserve">Duh Sad  Stupid Energy Attitudes Electric Cars that are simple in complicated </v>
      </c>
    </row>
    <row r="4930" spans="1:2" x14ac:dyDescent="0.2">
      <c r="A4930" s="1" t="s">
        <v>595</v>
      </c>
      <c r="B4930" s="1" t="str">
        <f ca="1">IFERROR(__xludf.DUMFUNCTION("GOOGLETRANSLATE(A5081,""id"",""en"")"),"the gas station will be cheap")</f>
        <v>the gas station will be cheap</v>
      </c>
    </row>
    <row r="4931" spans="1:2" x14ac:dyDescent="0.2">
      <c r="A4931" s="1" t="s">
        <v>596</v>
      </c>
      <c r="B4931" s="1" t="str">
        <f ca="1">IFERROR(__xludf.DUMFUNCTION("GOOGLETRANSLATE(A5082,""id"",""en"")"),"Belik Pertalite just KLEN RIBETIN")</f>
        <v>Belik Pertalite just KLEN RIBETIN</v>
      </c>
    </row>
    <row r="4932" spans="1:2" x14ac:dyDescent="0.2">
      <c r="A4932" s="1" t="s">
        <v>1769</v>
      </c>
      <c r="B4932" s="1" t="str">
        <f ca="1">IFERROR(__xludf.DUMFUNCTION("GOOGLETRANSLATE(A5083,""id"",""en"")"),"EKTP SBY's era is not scanned by 's task of buying Data Completed")</f>
        <v>EKTP SBY's era is not scanned by 's task of buying Data Completed</v>
      </c>
    </row>
    <row r="4933" spans="1:2" x14ac:dyDescent="0.2">
      <c r="A4933" s="1" t="s">
        <v>1770</v>
      </c>
      <c r="B4933" s="1" t="str">
        <f ca="1">IFERROR(__xludf.DUMFUNCTION("GOOGLETRANSLATE(A5085,""id"",""en"")"),"how come it's really good , you don't mean if the sickle driver is after gasoline, carrying a clurit cellphone")</f>
        <v>how come it's really good , you don't mean if the sickle driver is after gasoline, carrying a clurit cellphone</v>
      </c>
    </row>
    <row r="4934" spans="1:2" x14ac:dyDescent="0.2">
      <c r="A4934" s="1" t="s">
        <v>5372</v>
      </c>
      <c r="B4934" s="1" t="str">
        <f ca="1">IFERROR(__xludf.DUMFUNCTION("GOOGLETRANSLATE(A5086,""id"",""en"")"),"  application")</f>
        <v xml:space="preserve">  application</v>
      </c>
    </row>
    <row r="4935" spans="1:2" x14ac:dyDescent="0.2">
      <c r="A4935" s="1" t="s">
        <v>5373</v>
      </c>
      <c r="B4935" s="1" t="str">
        <f ca="1">IFERROR(__xludf.DUMFUNCTION("GOOGLETRANSLATE(A5087,""id"",""en"")"),"After going to go, wisely to buy pertalite fuel using   app.")</f>
        <v>After going to go, wisely to buy pertalite fuel using   app.</v>
      </c>
    </row>
    <row r="4936" spans="1:2" x14ac:dyDescent="0.2">
      <c r="A4936" s="1" t="s">
        <v>5374</v>
      </c>
      <c r="B4936" s="1" t="str">
        <f ca="1">IFERROR(__xludf.DUMFUNCTION("GOOGLETRANSLATE(A5088,""id"",""en"")"),"try uncle there to fill in Pertalite Koran remote areas of Jambi using the   application until the cellphone is not the internet")</f>
        <v>try uncle there to fill in Pertalite Koran remote areas of Jambi using the   application until the cellphone is not the internet</v>
      </c>
    </row>
    <row r="4937" spans="1:2" x14ac:dyDescent="0.2">
      <c r="A4937" s="1" t="s">
        <v>1771</v>
      </c>
      <c r="B4937" s="1" t="str">
        <f ca="1">IFERROR(__xludf.DUMFUNCTION("GOOGLETRANSLATE(A5089,""id"",""en"")"),"If you open vacant work  still list")</f>
        <v>If you open vacant work  still list</v>
      </c>
    </row>
    <row r="4938" spans="1:2" x14ac:dyDescent="0.2">
      <c r="A4938" s="1" t="s">
        <v>1772</v>
      </c>
      <c r="B4938" s="1" t="str">
        <f ca="1">IFERROR(__xludf.DUMFUNCTION("GOOGLETRANSLATE(A5090,""id"",""en"")"),"oh yes 's stock is staying")</f>
        <v>oh yes 's stock is staying</v>
      </c>
    </row>
    <row r="4939" spans="1:2" x14ac:dyDescent="0.2">
      <c r="A4939" s="1" t="s">
        <v>5375</v>
      </c>
      <c r="B4939" s="1" t="str">
        <f ca="1">IFERROR(__xludf.DUMFUNCTION("GOOGLETRANSLATE(A5091,""id"",""en"")"),"I think about the mangrove tolls to Kotabaru Tri Bapuk signal, then if you don't pay for  , but you guarding the bapuk pp bakauheni signal")</f>
        <v>I think about the mangrove tolls to Kotabaru Tri Bapuk signal, then if you don't pay for  , but you guarding the bapuk pp bakauheni signal</v>
      </c>
    </row>
    <row r="4940" spans="1:2" x14ac:dyDescent="0.2">
      <c r="A4940" s="1" t="s">
        <v>1381</v>
      </c>
      <c r="B4940" s="1" t="str">
        <f ca="1">IFERROR(__xludf.DUMFUNCTION("GOOGLETRANSLATE(A5092,""id"",""en"")")," Sasar Subsidy Level Testing Pertalite Solar Trial to List of 's Good Job Good Job")</f>
        <v xml:space="preserve"> Sasar Subsidy Level Testing Pertalite Solar Trial to List of 's Good Job Good Job</v>
      </c>
    </row>
    <row r="4941" spans="1:2" x14ac:dyDescent="0.2">
      <c r="A4941" s="1" t="s">
        <v>1516</v>
      </c>
      <c r="B4941" s="1" t="str">
        <f ca="1">IFERROR(__xludf.DUMFUNCTION("GOOGLETRANSLATE(A5093,""id"",""en"")")," Sasar Subsidy Level Testing Pertalite Solar Trials To Register So Cool  Layan Good")</f>
        <v xml:space="preserve"> Sasar Subsidy Level Testing Pertalite Solar Trials To Register So Cool  Layan Good</v>
      </c>
    </row>
    <row r="4942" spans="1:2" x14ac:dyDescent="0.2">
      <c r="A4942" s="1" t="s">
        <v>1773</v>
      </c>
      <c r="B4942" s="1" t="str">
        <f ca="1">IFERROR(__xludf.DUMFUNCTION("GOOGLETRANSLATE(A5094,""id"",""en"")"),"'s class is stupid")</f>
        <v>'s class is stupid</v>
      </c>
    </row>
    <row r="4943" spans="1:2" x14ac:dyDescent="0.2">
      <c r="A4943" s="1" t="s">
        <v>5376</v>
      </c>
      <c r="B4943" s="1" t="str">
        <f ca="1">IFERROR(__xludf.DUMFUNCTION("GOOGLETRANSLATE(A5095,""id"",""en"")"),"afraid of dech gas stations explosive because of opening  ")</f>
        <v xml:space="preserve">afraid of dech gas stations explosive because of opening  </v>
      </c>
    </row>
    <row r="4944" spans="1:2" x14ac:dyDescent="0.2">
      <c r="A4944" s="1" t="s">
        <v>5377</v>
      </c>
      <c r="B4944" s="1" t="str">
        <f ca="1">IFERROR(__xludf.DUMFUNCTION("GOOGLETRANSLATE(A5096,""id"",""en"")"),"JULY Discourse Buy Pertalite amp Solar Apk   Every gas station Briefs Kepriwe Gadget Kiye Jon")</f>
        <v>JULY Discourse Buy Pertalite amp Solar Apk   Every gas station Briefs Kepriwe Gadget Kiye Jon</v>
      </c>
    </row>
    <row r="4945" spans="1:2" x14ac:dyDescent="0.2">
      <c r="A4945" s="1" t="s">
        <v>5378</v>
      </c>
      <c r="B4945" s="1" t="str">
        <f ca="1">IFERROR(__xludf.DUMFUNCTION("GOOGLETRANSLATE(A5097,""id"",""en"")"),"if you buy gasoline using   that isn't gadget or not like it is not bolleh playing a gas station cellphone")</f>
        <v>if you buy gasoline using   that isn't gadget or not like it is not bolleh playing a gas station cellphone</v>
      </c>
    </row>
    <row r="4946" spans="1:2" x14ac:dyDescent="0.2">
      <c r="A4946" s="1" t="s">
        <v>1774</v>
      </c>
      <c r="B4946" s="1" t="str">
        <f ca="1">IFERROR(__xludf.DUMFUNCTION("GOOGLETRANSLATE(A5098,""id"",""en"")"),"say  who must pray")</f>
        <v>say  who must pray</v>
      </c>
    </row>
    <row r="4947" spans="1:2" x14ac:dyDescent="0.2">
      <c r="A4947" s="1" t="s">
        <v>1775</v>
      </c>
      <c r="B4947" s="1" t="str">
        <f ca="1">IFERROR(__xludf.DUMFUNCTION("GOOGLETRANSLATE(A5100,""id"",""en"")"),"no gas station, yes, min kmaren, buy pertalite mw, pay for  to not be cash")</f>
        <v>no gas station, yes, min kmaren, buy pertalite mw, pay for  to not be cash</v>
      </c>
    </row>
    <row r="4948" spans="1:2" x14ac:dyDescent="0.2">
      <c r="A4948" s="1" t="s">
        <v>1776</v>
      </c>
      <c r="B4948" s="1" t="str">
        <f ca="1">IFERROR(__xludf.DUMFUNCTION("GOOGLETRANSLATE(A5101,""id"",""en"")"),"It's strange to do this,  Ken, BPS List")</f>
        <v>It's strange to do this,  Ken, BPS List</v>
      </c>
    </row>
    <row r="4949" spans="1:2" x14ac:dyDescent="0.2">
      <c r="A4949" s="1" t="s">
        <v>1383</v>
      </c>
      <c r="B4949" s="1" t="str">
        <f ca="1">IFERROR(__xludf.DUMFUNCTION("GOOGLETRANSLATE(A5102,""id"",""en"")"),"Cool  Sasar Subsidy Level Testing Pertalite Solar Trial for List")</f>
        <v>Cool  Sasar Subsidy Level Testing Pertalite Solar Trial for List</v>
      </c>
    </row>
    <row r="4950" spans="1:2" x14ac:dyDescent="0.2">
      <c r="A4950" s="1" t="s">
        <v>1777</v>
      </c>
      <c r="B4950" s="1" t="str">
        <f ca="1">IFERROR(__xludf.DUMFUNCTION("GOOGLETRANSLATE(A5103,""id"",""en"")"),"Collecting people who are waiting for  gas stations, I want to pay using 's cellphone")</f>
        <v>Collecting people who are waiting for  gas stations, I want to pay using 's cellphone</v>
      </c>
    </row>
    <row r="4951" spans="1:2" x14ac:dyDescent="0.2">
      <c r="A4951" s="1" t="s">
        <v>597</v>
      </c>
      <c r="B4951" s="1" t="str">
        <f ca="1">IFERROR(__xludf.DUMFUNCTION("GOOGLETRANSLATE(A5104,""id"",""en"")"),"YouTube please actively TVOne Hook Bbm Subsidized Application Listen to the wide audience Moga Kenan Thank you")</f>
        <v>YouTube please actively TVOne Hook Bbm Subsidized Application Listen to the wide audience Moga Kenan Thank you</v>
      </c>
    </row>
    <row r="4952" spans="1:2" x14ac:dyDescent="0.2">
      <c r="A4952" s="1" t="s">
        <v>1778</v>
      </c>
      <c r="B4952" s="1" t="str">
        <f ca="1">IFERROR(__xludf.DUMFUNCTION("GOOGLETRANSLATE(A5105,""id"",""en"")")," prohibits so  to get")</f>
        <v xml:space="preserve"> prohibits so  to get</v>
      </c>
    </row>
    <row r="4953" spans="1:2" x14ac:dyDescent="0.2">
      <c r="A4953" s="1" t="s">
        <v>1779</v>
      </c>
      <c r="B4953" s="1" t="str">
        <f ca="1">IFERROR(__xludf.DUMFUNCTION("GOOGLETRANSLATE(A5106,""id"",""en"")"),"FROM  USING NOKIA HP")</f>
        <v>FROM  USING NOKIA HP</v>
      </c>
    </row>
    <row r="4954" spans="1:2" x14ac:dyDescent="0.2">
      <c r="A4954" s="1" t="s">
        <v>1780</v>
      </c>
      <c r="B4954" s="1" t="str">
        <f ca="1">IFERROR(__xludf.DUMFUNCTION("GOOGLETRANSLATE(A5107,""id"",""en"")")," facing with pertamini")</f>
        <v xml:space="preserve"> facing with pertamini</v>
      </c>
    </row>
    <row r="4955" spans="1:2" x14ac:dyDescent="0.2">
      <c r="A4955" s="1" t="s">
        <v>5379</v>
      </c>
      <c r="B4955" s="1" t="str">
        <f ca="1">IFERROR(__xludf.DUMFUNCTION("GOOGLETRANSLATE(A5108,""id"",""en"")")," joking the internet remotely the internet is difficult to fill in the complicated money of , prohibit the cellphone market.")</f>
        <v xml:space="preserve"> joking the internet remotely the internet is difficult to fill in the complicated money of , prohibit the cellphone market.</v>
      </c>
    </row>
    <row r="4956" spans="1:2" x14ac:dyDescent="0.2">
      <c r="A4956" s="1" t="s">
        <v>1781</v>
      </c>
      <c r="B4956" s="1" t="str">
        <f ca="1">IFERROR(__xludf.DUMFUNCTION("GOOGLETRANSLATE(A5109,""id"",""en"")"),"The era demanded according to the flowers in the era demanded according to there was a gaptek yes the task of  was still difficult to buy Pertamax ecer")</f>
        <v>The era demanded according to the flowers in the era demanded according to there was a gaptek yes the task of  was still difficult to buy Pertamax ecer</v>
      </c>
    </row>
    <row r="4957" spans="1:2" x14ac:dyDescent="0.2">
      <c r="A4957" s="1" t="s">
        <v>1382</v>
      </c>
      <c r="B4957" s="1" t="str">
        <f ca="1">IFERROR(__xludf.DUMFUNCTION("GOOGLETRANSLATE(A5110,""id"",""en"")")," Sasar Subsidy Level Test Pertalite Solar Trial for a Good Efforts List")</f>
        <v xml:space="preserve"> Sasar Subsidy Level Test Pertalite Solar Trial for a Good Efforts List</v>
      </c>
    </row>
    <row r="4958" spans="1:2" x14ac:dyDescent="0.2">
      <c r="A4958" s="1" t="s">
        <v>1574</v>
      </c>
      <c r="B4958" s="1" t="str">
        <f ca="1">IFERROR(__xludf.DUMFUNCTION("GOOGLETRANSLATE(A5111,""id"",""en"")")," Sasar Subsidy Level Testing Pertalite Solar Trial for 's Good Job Good Job List")</f>
        <v xml:space="preserve"> Sasar Subsidy Level Testing Pertalite Solar Trial for 's Good Job Good Job List</v>
      </c>
    </row>
    <row r="4959" spans="1:2" x14ac:dyDescent="0.2">
      <c r="A4959" s="1" t="s">
        <v>5380</v>
      </c>
      <c r="B4959" s="1" t="str">
        <f ca="1">IFERROR(__xludf.DUMFUNCTION("GOOGLETRANSLATE(A5112,""id"",""en"")"),"Imagine Dah Nguantrii Puanjjangg Eh Kaga Apk  ")</f>
        <v xml:space="preserve">Imagine Dah Nguantrii Puanjjangg Eh Kaga Apk  </v>
      </c>
    </row>
    <row r="4960" spans="1:2" x14ac:dyDescent="0.2">
      <c r="A4960" s="1" t="s">
        <v>598</v>
      </c>
      <c r="B4960" s="1" t="str">
        <f ca="1">IFERROR(__xludf.DUMFUNCTION("GOOGLETRANSLATE(A5113,""id"",""en"")"),"Forced to use the application but the application ngebug server if it is not difficult")</f>
        <v>Forced to use the application but the application ngebug server if it is not difficult</v>
      </c>
    </row>
    <row r="4961" spans="1:2" x14ac:dyDescent="0.2">
      <c r="A4961" s="1" t="s">
        <v>1782</v>
      </c>
      <c r="B4961" s="1" t="str">
        <f ca="1">IFERROR(__xludf.DUMFUNCTION("GOOGLETRANSLATE(A5114,""id"",""en"")"),"Yes, do you play 's cellphone")</f>
        <v>Yes, do you play 's cellphone</v>
      </c>
    </row>
    <row r="4962" spans="1:2" x14ac:dyDescent="0.2">
      <c r="A4962" s="1" t="s">
        <v>5381</v>
      </c>
      <c r="B4962" s="1" t="str">
        <f ca="1">IFERROR(__xludf.DUMFUNCTION("GOOGLETRANSLATE(A5115,""id"",""en"")"),"not, nek nek nang  buy pertalite paying hp lot open  need minutes scan barkode minutes not complicated")</f>
        <v>not, nek nek nang  buy pertalite paying hp lot open  need minutes scan barkode minutes not complicated</v>
      </c>
    </row>
    <row r="4963" spans="1:2" x14ac:dyDescent="0.2">
      <c r="A4963" s="1" t="s">
        <v>1385</v>
      </c>
      <c r="B4963" s="1" t="str">
        <f ca="1">IFERROR(__xludf.DUMFUNCTION("GOOGLETRANSLATE(A5116,""id"",""en"")"),"with  Salar Salar Subsidies Testing Pertalite Solar to list the results of the results of the results")</f>
        <v>with  Salar Salar Subsidies Testing Pertalite Solar to list the results of the results of the results</v>
      </c>
    </row>
    <row r="4964" spans="1:2" x14ac:dyDescent="0.2">
      <c r="A4964" s="1" t="s">
        <v>1783</v>
      </c>
      <c r="B4964" s="1" t="str">
        <f ca="1">IFERROR(__xludf.DUMFUNCTION("GOOGLETRANSLATE(A5117,""id"",""en"")"),"RIAH KIE  LUBRICANTS Special Promo Prizes")</f>
        <v>RIAH KIE  LUBRICANTS Special Promo Prizes</v>
      </c>
    </row>
    <row r="4965" spans="1:2" x14ac:dyDescent="0.2">
      <c r="A4965" s="1" t="s">
        <v>5382</v>
      </c>
      <c r="B4965" s="1" t="str">
        <f ca="1">IFERROR(__xludf.DUMFUNCTION("GOOGLETRANSLATE(A5118,""id"",""en"")"),"Yak List   Let the Wallet Kaga Bengep")</f>
        <v>Yak List   Let the Wallet Kaga Bengep</v>
      </c>
    </row>
    <row r="4966" spans="1:2" x14ac:dyDescent="0.2">
      <c r="A4966" s="1" t="s">
        <v>1387</v>
      </c>
      <c r="B4966" s="1" t="str">
        <f ca="1">IFERROR(__xludf.DUMFUNCTION("GOOGLETRANSLATE(A5119,""id"",""en"")"),"steady levels of  saradis subsidies trials service services for solar to list it is very compulsory to support")</f>
        <v>steady levels of  saradis subsidies trials service services for solar to list it is very compulsory to support</v>
      </c>
    </row>
    <row r="4967" spans="1:2" x14ac:dyDescent="0.2">
      <c r="A4967" s="1" t="s">
        <v>1386</v>
      </c>
      <c r="B4967" s="1" t="str">
        <f ca="1">IFERROR(__xludf.DUMFUNCTION("GOOGLETRANSLATE(A5120,""id"",""en"")")," Sasar Subsidy Level Testing Pertalite Solar Trials to Register Yuk Support Digitalization")</f>
        <v xml:space="preserve"> Sasar Subsidy Level Testing Pertalite Solar Trials to Register Yuk Support Digitalization</v>
      </c>
    </row>
    <row r="4968" spans="1:2" x14ac:dyDescent="0.2">
      <c r="A4968" s="1" t="s">
        <v>1388</v>
      </c>
      <c r="B4968" s="1" t="str">
        <f ca="1">IFERROR(__xludf.DUMFUNCTION("GOOGLETRANSLATE(A5121,""id"",""en"")"),"really cool, the level of Sasar  subsidy test trials service service for the list of Sasar Moga")</f>
        <v>really cool, the level of Sasar  subsidy test trials service service for the list of Sasar Moga</v>
      </c>
    </row>
    <row r="4969" spans="1:2" x14ac:dyDescent="0.2">
      <c r="A4969" s="1" t="s">
        <v>5383</v>
      </c>
      <c r="B4969" s="1" t="str">
        <f ca="1">IFERROR(__xludf.DUMFUNCTION("GOOGLETRANSLATE(A5122,""id"",""en"")"),"think that if you use the app, then the cellphone is not using the app, but the people will give me a cellphone that supports ")</f>
        <v xml:space="preserve">think that if you use the app, then the cellphone is not using the app, but the people will give me a cellphone that supports </v>
      </c>
    </row>
    <row r="4970" spans="1:2" x14ac:dyDescent="0.2">
      <c r="A4970" s="1" t="s">
        <v>1784</v>
      </c>
      <c r="B4970" s="1" t="str">
        <f ca="1">IFERROR(__xludf.DUMFUNCTION("GOOGLETRANSLATE(A5123,""id"",""en"")"),"Playing the region that is , bro, so I understand playing the profit and loss of junior high school children understand the difference if it's different")</f>
        <v>Playing the region that is , bro, so I understand playing the profit and loss of junior high school children understand the difference if it's different</v>
      </c>
    </row>
    <row r="4971" spans="1:2" x14ac:dyDescent="0.2">
      <c r="A4971" s="1" t="s">
        <v>1785</v>
      </c>
      <c r="B4971" s="1" t="str">
        <f ca="1">IFERROR(__xludf.DUMFUNCTION("GOOGLETRANSLATE(A5124,""id"",""en"")")," BUMN Damaged The People's Cardboard Regime Macked the People")</f>
        <v xml:space="preserve"> BUMN Damaged The People's Cardboard Regime Macked the People</v>
      </c>
    </row>
    <row r="4972" spans="1:2" x14ac:dyDescent="0.2">
      <c r="A4972" s="1" t="s">
        <v>1786</v>
      </c>
      <c r="B4972" s="1" t="str">
        <f ca="1">IFERROR(__xludf.DUMFUNCTION("GOOGLETRANSLATE(A5125,""id"",""en"")"),"No, if the president of  is playing, yes, don't people feel like people")</f>
        <v>No, if the president of  is playing, yes, don't people feel like people</v>
      </c>
    </row>
    <row r="4973" spans="1:2" x14ac:dyDescent="0.2">
      <c r="A4973" s="1" t="s">
        <v>1787</v>
      </c>
      <c r="B4973" s="1" t="str">
        <f ca="1">IFERROR(__xludf.DUMFUNCTION("GOOGLETRANSLATE(A5126,""id"",""en"")"),"O Allah Ken Dadi  Employee")</f>
        <v>O Allah Ken Dadi  Employee</v>
      </c>
    </row>
    <row r="4974" spans="1:2" x14ac:dyDescent="0.2">
      <c r="A4974" s="1" t="s">
        <v>1788</v>
      </c>
      <c r="B4974" s="1" t="str">
        <f ca="1">IFERROR(__xludf.DUMFUNCTION("GOOGLETRANSLATE(A5127,""id"",""en"")"),"It takes the solar cellphone to not support , how to think about it")</f>
        <v>It takes the solar cellphone to not support , how to think about it</v>
      </c>
    </row>
    <row r="4975" spans="1:2" x14ac:dyDescent="0.2">
      <c r="A4975" s="1" t="s">
        <v>5384</v>
      </c>
      <c r="B4975" s="1" t="str">
        <f ca="1">IFERROR(__xludf.DUMFUNCTION("GOOGLETRANSLATE(A5128,""id"",""en"")"),"People don't bring cash disappear money, it's really non -cash, I get a promo center, pay attention to  .")</f>
        <v>People don't bring cash disappear money, it's really non -cash, I get a promo center, pay attention to  .</v>
      </c>
    </row>
    <row r="4976" spans="1:2" x14ac:dyDescent="0.2">
      <c r="A4976" s="1" t="s">
        <v>1789</v>
      </c>
      <c r="B4976" s="1" t="str">
        <f ca="1">IFERROR(__xludf.DUMFUNCTION("GOOGLETRANSLATE(A5129,""id"",""en"")")," GA APPLICATION APPLICATION APPROVAL SYSTEMS SYSTEMS")</f>
        <v xml:space="preserve"> GA APPLICATION APPLICATION APPROVAL SYSTEMS SYSTEMS</v>
      </c>
    </row>
    <row r="4977" spans="1:2" x14ac:dyDescent="0.2">
      <c r="A4977" s="1" t="s">
        <v>5385</v>
      </c>
      <c r="B4977" s="1" t="str">
        <f ca="1">IFERROR(__xludf.DUMFUNCTION("GOOGLETRANSLATE(A5130,""id"",""en"")"),"Tuesday PT  Adjusting to Buy Pertalite Solar SPBU Community Buy Subsidized Fuel Mandatory List of  Jayb Blackpinkkpop")</f>
        <v>Tuesday PT  Adjusting to Buy Pertalite Solar SPBU Community Buy Subsidized Fuel Mandatory List of  Jayb Blackpinkkpop</v>
      </c>
    </row>
    <row r="4978" spans="1:2" x14ac:dyDescent="0.2">
      <c r="A4978" s="1" t="s">
        <v>1790</v>
      </c>
      <c r="B4978" s="1" t="str">
        <f ca="1">IFERROR(__xludf.DUMFUNCTION("GOOGLETRANSLATE(A5131,""id"",""en"")"),"Cecer of 's Wijayakusuma Pier oil due to investigation")</f>
        <v>Cecer of 's Wijayakusuma Pier oil due to investigation</v>
      </c>
    </row>
    <row r="4979" spans="1:2" x14ac:dyDescent="0.2">
      <c r="A4979" s="1" t="s">
        <v>1791</v>
      </c>
      <c r="B4979" s="1" t="str">
        <f ca="1">IFERROR(__xludf.DUMFUNCTION("GOOGLETRANSLATE(A5132,""id"",""en"")"),"'s disruption era disrupted angel policyruwet disruption")</f>
        <v>'s disruption era disrupted angel policyruwet disruption</v>
      </c>
    </row>
    <row r="4980" spans="1:2" x14ac:dyDescent="0.2">
      <c r="A4980" s="1" t="s">
        <v>1792</v>
      </c>
      <c r="B4980" s="1" t="str">
        <f ca="1">IFERROR(__xludf.DUMFUNCTION("GOOGLETRANSLATE(A5133,""id"",""en"")"),"Sempol The  Shares")</f>
        <v>Sempol The  Shares</v>
      </c>
    </row>
    <row r="4981" spans="1:2" x14ac:dyDescent="0.2">
      <c r="A4981" s="1" t="s">
        <v>1791</v>
      </c>
      <c r="B4981" s="1" t="str">
        <f ca="1">IFERROR(__xludf.DUMFUNCTION("GOOGLETRANSLATE(A5135,""id"",""en"")"),"'s disruption era disrupted angel policyruwet disruption")</f>
        <v>'s disruption era disrupted angel policyruwet disruption</v>
      </c>
    </row>
    <row r="4982" spans="1:2" x14ac:dyDescent="0.2">
      <c r="A4982" s="1" t="s">
        <v>1793</v>
      </c>
      <c r="B4982" s="1" t="str">
        <f ca="1">IFERROR(__xludf.DUMFUNCTION("GOOGLETRANSLATE(A5136,""id"",""en"")"),"Smart GMN ")</f>
        <v xml:space="preserve">Smart GMN </v>
      </c>
    </row>
    <row r="4983" spans="1:2" x14ac:dyDescent="0.2">
      <c r="A4983" s="1" t="s">
        <v>1794</v>
      </c>
      <c r="B4983" s="1" t="str">
        <f ca="1">IFERROR(__xludf.DUMFUNCTION("GOOGLETRANSLATE(A5137,""id"",""en"")"),"civil servant wes hope that the media salary news article reads  BUMN PLN Angkasa Pura Kai Petrochemical Semen Indonesia Antam Antam, which is laughed at by business times")</f>
        <v>civil servant wes hope that the media salary news article reads  BUMN PLN Angkasa Pura Kai Petrochemical Semen Indonesia Antam Antam, which is laughed at by business times</v>
      </c>
    </row>
    <row r="4984" spans="1:2" x14ac:dyDescent="0.2">
      <c r="A4984" s="1" t="s">
        <v>5386</v>
      </c>
      <c r="B4984" s="1" t="str">
        <f ca="1">IFERROR(__xludf.DUMFUNCTION("GOOGLETRANSLATE(A5138,""id"",""en"")"),"Why  Simple Orderly Commercial Gasoline Termang False Consumers Pertalite Ecer Orderly Change  BKAL advanced Pertashop who developed forward Linkaja Enter Gojek Linkaja did not bring dam")</f>
        <v>Why  Simple Orderly Commercial Gasoline Termang False Consumers Pertalite Ecer Orderly Change  BKAL advanced Pertashop who developed forward Linkaja Enter Gojek Linkaja did not bring dam</v>
      </c>
    </row>
    <row r="4985" spans="1:2" x14ac:dyDescent="0.2">
      <c r="A4985" s="1" t="s">
        <v>1795</v>
      </c>
      <c r="B4985" s="1" t="str">
        <f ca="1">IFERROR(__xludf.DUMFUNCTION("GOOGLETRANSLATE(A5139,""id"",""en"")"),"seriously min  the HR uses QRCODE says the power system of the power of power human resources")</f>
        <v>seriously min  the HR uses QRCODE says the power system of the power of power human resources</v>
      </c>
    </row>
    <row r="4986" spans="1:2" x14ac:dyDescent="0.2">
      <c r="A4986" s="1" t="s">
        <v>5387</v>
      </c>
      <c r="B4986" s="1" t="str">
        <f ca="1">IFERROR(__xludf.DUMFUNCTION("GOOGLETRANSLATE(A5140,""id"",""en"")"),"already list   but don't use it")</f>
        <v>already list   but don't use it</v>
      </c>
    </row>
    <row r="4987" spans="1:2" x14ac:dyDescent="0.2">
      <c r="A4987" s="1" t="s">
        <v>5388</v>
      </c>
      <c r="B4987" s="1" t="str">
        <f ca="1">IFERROR(__xludf.DUMFUNCTION("GOOGLETRANSLATE(A5141,""id"",""en"")"),"Care for KTP KK   Protection List of Difficult Images of Citizens Lower Countries Results of Earth Palm Oil")</f>
        <v>Care for KTP KK   Protection List of Difficult Images of Citizens Lower Countries Results of Earth Palm Oil</v>
      </c>
    </row>
    <row r="4988" spans="1:2" x14ac:dyDescent="0.2">
      <c r="A4988" s="1" t="s">
        <v>1796</v>
      </c>
      <c r="B4988" s="1" t="str">
        <f ca="1">IFERROR(__xludf.DUMFUNCTION("GOOGLETRANSLATE(A5142,""id"",""en"")"),"Petamini Pertamax if buying Pertamax  Gaperlu CMIIW application")</f>
        <v>Petamini Pertamax if buying Pertamax  Gaperlu CMIIW application</v>
      </c>
    </row>
    <row r="4989" spans="1:2" x14ac:dyDescent="0.2">
      <c r="A4989" s="1" t="s">
        <v>1797</v>
      </c>
      <c r="B4989" s="1" t="str">
        <f ca="1">IFERROR(__xludf.DUMFUNCTION("GOOGLETRANSLATE(A5143,""id"",""en"")"),"spill cilacap water oil  said Beritajogja Jogja Jogjaist special")</f>
        <v>spill cilacap water oil  said Beritajogja Jogja Jogjaist special</v>
      </c>
    </row>
    <row r="4990" spans="1:2" x14ac:dyDescent="0.2">
      <c r="A4990" s="1" t="s">
        <v>1798</v>
      </c>
      <c r="B4990" s="1" t="str">
        <f ca="1">IFERROR(__xludf.DUMFUNCTION("GOOGLETRANSLATE(A5144,""id"",""en"")"),"EDC  SPBU really damaged well waiting for the old telkom vendor")</f>
        <v>EDC  SPBU really damaged well waiting for the old telkom vendor</v>
      </c>
    </row>
    <row r="4991" spans="1:2" x14ac:dyDescent="0.2">
      <c r="A4991" s="1" t="s">
        <v>1799</v>
      </c>
      <c r="B4991" s="1" t="str">
        <f ca="1">IFERROR(__xludf.DUMFUNCTION("GOOGLETRANSLATE(A5145,""id"",""en"")"),"It's not easy to use the app protect the Grab shop in the  app like that, not installing which it is complicated superapp")</f>
        <v>It's not easy to use the app protect the Grab shop in the  app like that, not installing which it is complicated superapp</v>
      </c>
    </row>
    <row r="4992" spans="1:2" x14ac:dyDescent="0.2">
      <c r="A4992" s="1" t="s">
        <v>5389</v>
      </c>
      <c r="B4992" s="1" t="str">
        <f ca="1">IFERROR(__xludf.DUMFUNCTION("GOOGLETRANSLATE(A5146,""id"",""en"")"),"  bner cmn just buy a gas cylinder so that the house")</f>
        <v xml:space="preserve">  bner cmn just buy a gas cylinder so that the house</v>
      </c>
    </row>
    <row r="4993" spans="1:2" x14ac:dyDescent="0.2">
      <c r="A4993" s="1" t="s">
        <v>5390</v>
      </c>
      <c r="B4993" s="1" t="str">
        <f ca="1">IFERROR(__xludf.DUMFUNCTION("GOOGLETRANSLATE(A5147,""id"",""en"")"),"Ngagaleuh Pertalite Kedah Nganggo Application   Ngagaleuh Cooking Oil Kedah Nganggo Application Duli Protector Sophisticated Technology Keur Ngabantu Rahayat Poor Sabalikna Karu Ema ema ema Tkng Ojeg area of ​​fried driver angkot jrrd and cellp"&amp;"hone na old school")</f>
        <v>Ngagaleuh Pertalite Kedah Nganggo Application   Ngagaleuh Cooking Oil Kedah Nganggo Application Duli Protector Sophisticated Technology Keur Ngabantu Rahayat Poor Sabalikna Karu Ema ema ema Tkng Ojeg area of ​​fried driver angkot jrrd and cellphone na old school</v>
      </c>
    </row>
    <row r="4994" spans="1:2" x14ac:dyDescent="0.2">
      <c r="A4994" s="1" t="s">
        <v>599</v>
      </c>
      <c r="B4994" s="1" t="str">
        <f ca="1">IFERROR(__xludf.DUMFUNCTION("GOOGLETRANSLATE(A5148,""id"",""en"")"),"Hehh Mr. Ra Duwe Henpon Android Piye We Nek Penekan Gasoline Kon Pushed Until Founding the Soul's Apikkk Ecer")</f>
        <v>Hehh Mr. Ra Duwe Henpon Android Piye We Nek Penekan Gasoline Kon Pushed Until Founding the Soul's Apikkk Ecer</v>
      </c>
    </row>
    <row r="4995" spans="1:2" x14ac:dyDescent="0.2">
      <c r="A4995" s="1" t="s">
        <v>1800</v>
      </c>
      <c r="B4995" s="1" t="str">
        <f ca="1">IFERROR(__xludf.DUMFUNCTION("GOOGLETRANSLATE(A5149,""id"",""en"")"),"Very worried 's efforts to the First Pertalite Limit")</f>
        <v>Very worried 's efforts to the First Pertalite Limit</v>
      </c>
    </row>
    <row r="4996" spans="1:2" x14ac:dyDescent="0.2">
      <c r="A4996" s="1" t="s">
        <v>1801</v>
      </c>
      <c r="B4996" s="1" t="str">
        <f ca="1">IFERROR(__xludf.DUMFUNCTION("GOOGLETRANSLATE(A5150,""id"",""en"")"),"Fortunately, what's the selling fuel, it's already a monopoly, there are many losses, the jabat is a jabat of , cutting off the salary of cutting")</f>
        <v>Fortunately, what's the selling fuel, it's already a monopoly, there are many losses, the jabat is a jabat of , cutting off the salary of cutting</v>
      </c>
    </row>
    <row r="4997" spans="1:2" x14ac:dyDescent="0.2">
      <c r="A4997" s="1" t="s">
        <v>1802</v>
      </c>
      <c r="B4997" s="1" t="str">
        <f ca="1">IFERROR(__xludf.DUMFUNCTION("GOOGLETRANSLATE(A5151,""id"",""en"")")," Sasar Subsidy Level Testing Pertalite Solar Trial To List of 's Good Job Good Jobs")</f>
        <v xml:space="preserve"> Sasar Subsidy Level Testing Pertalite Solar Trial To List of 's Good Job Good Jobs</v>
      </c>
    </row>
    <row r="4998" spans="1:2" x14ac:dyDescent="0.2">
      <c r="A4998" s="1" t="s">
        <v>1803</v>
      </c>
      <c r="B4998" s="1" t="str">
        <f ca="1">IFERROR(__xludf.DUMFUNCTION("GOOGLETRANSLATE(A5152,""id"",""en"")"),"hook for 's application there is a sounding of customers")</f>
        <v>hook for 's application there is a sounding of customers</v>
      </c>
    </row>
    <row r="4999" spans="1:2" x14ac:dyDescent="0.2">
      <c r="A4999" s="1" t="s">
        <v>5389</v>
      </c>
      <c r="B4999" s="1" t="str">
        <f ca="1">IFERROR(__xludf.DUMFUNCTION("GOOGLETRANSLATE(A5153,""id"",""en"")"),"  bner cmn just buy a gas cylinder so that the house")</f>
        <v xml:space="preserve">  bner cmn just buy a gas cylinder so that the house</v>
      </c>
    </row>
    <row r="5000" spans="1:2" x14ac:dyDescent="0.2">
      <c r="A5000" s="1" t="s">
        <v>5391</v>
      </c>
      <c r="B5000" s="1" t="str">
        <f ca="1">IFERROR(__xludf.DUMFUNCTION("GOOGLETRANSLATE(A5154,""id"",""en"")"),"  Fuel Distribution Solutions Reaction Appears BUY BUY BENSION USING APPLICATION")</f>
        <v xml:space="preserve">  Fuel Distribution Solutions Reaction Appears BUY BUY BENSION USING APPLICATION</v>
      </c>
    </row>
    <row r="5001" spans="1:2" x14ac:dyDescent="0.2">
      <c r="A5001" s="1" t="s">
        <v>1804</v>
      </c>
      <c r="B5001" s="1" t="str">
        <f ca="1">IFERROR(__xludf.DUMFUNCTION("GOOGLETRANSLATE(A5155,""id"",""en"")"),"Cool  Sasar Subsidy Level Testing Pertalite Solar Trials To Register Here")</f>
        <v>Cool  Sasar Subsidy Level Testing Pertalite Solar Trials To Register Here</v>
      </c>
    </row>
    <row r="5002" spans="1:2" x14ac:dyDescent="0.2">
      <c r="A5002" s="1" t="s">
        <v>600</v>
      </c>
      <c r="B5002" s="1" t="str">
        <f ca="1">IFERROR(__xludf.DUMFUNCTION("GOOGLETRANSLATE(A5156,""id"",""en"")"),"Cape School Taun then Teach Static Electricity IdiioOot Static")</f>
        <v>Cape School Taun then Teach Static Electricity IdiioOot Static</v>
      </c>
    </row>
    <row r="5003" spans="1:2" x14ac:dyDescent="0.2">
      <c r="A5003" s="1" t="s">
        <v>5392</v>
      </c>
      <c r="B5003" s="1" t="str">
        <f ca="1">IFERROR(__xludf.DUMFUNCTION("GOOGLETRANSLATE(A5157,""id"",""en"")"),"Date July  Adjusting Pertalite Solar Mandatory List of  Portalyogya  Pertalite")</f>
        <v>Date July  Adjusting Pertalite Solar Mandatory List of  Portalyogya  Pertalite</v>
      </c>
    </row>
    <row r="5004" spans="1:2" x14ac:dyDescent="0.2">
      <c r="A5004" s="1" t="s">
        <v>5393</v>
      </c>
      <c r="B5004" s="1" t="str">
        <f ca="1">IFERROR(__xludf.DUMFUNCTION("GOOGLETRANSLATE(A5158,""id"",""en"")"),"Fill the gasoline using   buy cooking oil using protection care")</f>
        <v>Fill the gasoline using   buy cooking oil using protection care</v>
      </c>
    </row>
    <row r="5005" spans="1:2" x14ac:dyDescent="0.2">
      <c r="A5005" s="1" t="s">
        <v>601</v>
      </c>
      <c r="B5005" s="1" t="str">
        <f ca="1">IFERROR(__xludf.DUMFUNCTION("GOOGLETRANSLATE(A5159,""id"",""en"")"),"gas station doesn't turn on the cellphone")</f>
        <v>gas station doesn't turn on the cellphone</v>
      </c>
    </row>
    <row r="5006" spans="1:2" x14ac:dyDescent="0.2">
      <c r="A5006" s="1" t="s">
        <v>1805</v>
      </c>
      <c r="B5006" s="1" t="str">
        <f ca="1">IFERROR(__xludf.DUMFUNCTION("GOOGLETRANSLATE(A5160,""id"",""en"")")," Sasar Subsidy Level Testing Pertalite Solar Trial for the List of 's Good Job Good Jobs")</f>
        <v xml:space="preserve"> Sasar Subsidy Level Testing Pertalite Solar Trial for the List of 's Good Job Good Jobs</v>
      </c>
    </row>
    <row r="5007" spans="1:2" x14ac:dyDescent="0.2">
      <c r="A5007" s="1" t="s">
        <v>5394</v>
      </c>
      <c r="B5007" s="1" t="str">
        <f ca="1">IFERROR(__xludf.DUMFUNCTION("GOOGLETRANSLATE(A5161,""id"",""en"")"),"Honest Honest Not aimed at buying BBM Type of Pertalite Solar Application   Try Checking Review for the   Google Play App Store Internet Connection Signal Signal")</f>
        <v>Honest Honest Not aimed at buying BBM Type of Pertalite Solar Application   Try Checking Review for the   Google Play App Store Internet Connection Signal Signal</v>
      </c>
    </row>
    <row r="5008" spans="1:2" x14ac:dyDescent="0.2">
      <c r="A5008" s="1" t="s">
        <v>1806</v>
      </c>
      <c r="B5008" s="1" t="str">
        <f ca="1">IFERROR(__xludf.DUMFUNCTION("GOOGLETRANSLATE(A5162,""id"",""en"")"),"with 's Salar Salar Subsidy Level Testing Pertalite Solar to list the results of the results of the results")</f>
        <v>with 's Salar Salar Subsidy Level Testing Pertalite Solar to list the results of the results of the results</v>
      </c>
    </row>
    <row r="5009" spans="1:2" x14ac:dyDescent="0.2">
      <c r="A5009" s="1" t="s">
        <v>5395</v>
      </c>
      <c r="B5009" s="1" t="str">
        <f ca="1">IFERROR(__xludf.DUMFUNCTION("GOOGLETRANSLATE(A5163,""id"",""en"")"),"Random  Staff Filling Up  Motorbike Zero yes aaaaaaaaaaaaaaaaaaaaaa")</f>
        <v>Random  Staff Filling Up  Motorbike Zero yes aaaaaaaaaaaaaaaaaaaaaa</v>
      </c>
    </row>
    <row r="5010" spans="1:2" x14ac:dyDescent="0.2">
      <c r="A5010" s="1" t="s">
        <v>1807</v>
      </c>
      <c r="B5010" s="1" t="str">
        <f ca="1">IFERROR(__xludf.DUMFUNCTION("GOOGLETRANSLATE(A5164,""id"",""en"")")," makes it adjust to buy BBM via cellphone when trying to list it is easy to enter, it's hard to be complicated, ukuuuun eko")</f>
        <v xml:space="preserve"> makes it adjust to buy BBM via cellphone when trying to list it is easy to enter, it's hard to be complicated, ukuuuun eko</v>
      </c>
    </row>
    <row r="5011" spans="1:2" x14ac:dyDescent="0.2">
      <c r="A5011" s="1" t="s">
        <v>5396</v>
      </c>
      <c r="B5011" s="1" t="str">
        <f ca="1">IFERROR(__xludf.DUMFUNCTION("GOOGLETRANSLATE(A5165,""id"",""en"")"),"Sek Cah Filling Gasoline Nek Pom Not Dolan Hp Lha Saiki Filling Gasoline Gawe   Concept Piye")</f>
        <v>Sek Cah Filling Gasoline Nek Pom Not Dolan Hp Lha Saiki Filling Gasoline Gawe   Concept Piye</v>
      </c>
    </row>
    <row r="5012" spans="1:2" x14ac:dyDescent="0.2">
      <c r="A5012" s="1" t="s">
        <v>602</v>
      </c>
      <c r="B5012" s="1" t="str">
        <f ca="1">IFERROR(__xludf.DUMFUNCTION("GOOGLETRANSLATE(A5166,""id"",""en"")"),"wkwkwkwkkkk bnr ughaaa kocaaaakkk cc")</f>
        <v>wkwkwkwkkkk bnr ughaaa kocaaaakkk cc</v>
      </c>
    </row>
    <row r="5013" spans="1:2" x14ac:dyDescent="0.2">
      <c r="A5013" s="1" t="s">
        <v>5397</v>
      </c>
      <c r="B5013" s="1" t="str">
        <f ca="1">IFERROR(__xludf.DUMFUNCTION("GOOGLETRANSLATE(A5167,""id"",""en"")"),"Caring for Protection   Using Hp Quota Package For People Hp Quota Woi")</f>
        <v>Caring for Protection   Using Hp Quota Package For People Hp Quota Woi</v>
      </c>
    </row>
    <row r="5014" spans="1:2" x14ac:dyDescent="0.2">
      <c r="A5014" s="1" t="s">
        <v>5398</v>
      </c>
      <c r="B5014" s="1" t="str">
        <f ca="1">IFERROR(__xludf.DUMFUNCTION("GOOGLETRANSLATE(A5168,""id"",""en"")"),"Fill the gasoline using   pom to play the cellphone")</f>
        <v>Fill the gasoline using   pom to play the cellphone</v>
      </c>
    </row>
    <row r="5015" spans="1:2" x14ac:dyDescent="0.2">
      <c r="A5015" s="1" t="s">
        <v>5399</v>
      </c>
      <c r="B5015" s="1" t="str">
        <f ca="1">IFERROR(__xludf.DUMFUNCTION("GOOGLETRANSLATE(A5169,""id"",""en"")"),"Basic Information on  page trial trials buy solar subsidies pertalite applications  test in July Province")</f>
        <v>Basic Information on  page trial trials buy solar subsidies pertalite applications  test in July Province</v>
      </c>
    </row>
    <row r="5016" spans="1:2" x14ac:dyDescent="0.2">
      <c r="A5016" s="1" t="s">
        <v>1808</v>
      </c>
      <c r="B5016" s="1" t="str">
        <f ca="1">IFERROR(__xludf.DUMFUNCTION("GOOGLETRANSLATE(A5170,""id"",""en"")"),"Jokowi insisted on the achievement period of Esemka JIS  Great Petronas")</f>
        <v>Jokowi insisted on the achievement period of Esemka JIS  Great Petronas</v>
      </c>
    </row>
    <row r="5017" spans="1:2" x14ac:dyDescent="0.2">
      <c r="A5017" s="1" t="s">
        <v>603</v>
      </c>
      <c r="B5017" s="1" t="str">
        <f ca="1">IFERROR(__xludf.DUMFUNCTION("GOOGLETRANSLATE(A5171,""id"",""en"")"),"the toilet is already paid why")</f>
        <v>the toilet is already paid why</v>
      </c>
    </row>
    <row r="5018" spans="1:2" x14ac:dyDescent="0.2">
      <c r="A5018" s="1" t="s">
        <v>1809</v>
      </c>
      <c r="B5018" s="1" t="str">
        <f ca="1">IFERROR(__xludf.DUMFUNCTION("GOOGLETRANSLATE(A5172,""id"",""en"")"),"which makes  smart people but make adjust the stupid")</f>
        <v>which makes  smart people but make adjust the stupid</v>
      </c>
    </row>
    <row r="5019" spans="1:2" x14ac:dyDescent="0.2">
      <c r="A5019" s="1" t="s">
        <v>5400</v>
      </c>
      <c r="B5019" s="1" t="str">
        <f ca="1">IFERROR(__xludf.DUMFUNCTION("GOOGLETRANSLATE(A5173,""id"",""en"")"),"ahok yaaa install  ")</f>
        <v xml:space="preserve">ahok yaaa install  </v>
      </c>
    </row>
    <row r="5020" spans="1:2" x14ac:dyDescent="0.2">
      <c r="A5020" s="1" t="s">
        <v>5401</v>
      </c>
      <c r="B5020" s="1" t="str">
        <f ca="1">IFERROR(__xludf.DUMFUNCTION("GOOGLETRANSLATE(A5174,""id"",""en"")"),"Check Twitter Trend Indra Bekti Azzam Holywings  ")</f>
        <v xml:space="preserve">Check Twitter Trend Indra Bekti Azzam Holywings  </v>
      </c>
    </row>
    <row r="5021" spans="1:2" x14ac:dyDescent="0.2">
      <c r="A5021" s="1" t="s">
        <v>5402</v>
      </c>
      <c r="B5021" s="1" t="str">
        <f ca="1">IFERROR(__xludf.DUMFUNCTION("GOOGLETRANSLATE(A5175,""id"",""en"")"),"  Download App   Download Load Notification of Internal Memory Full Failure Fill Gasoline")</f>
        <v xml:space="preserve">  Download App   Download Load Notification of Internal Memory Full Failure Fill Gasoline</v>
      </c>
    </row>
    <row r="5022" spans="1:2" x14ac:dyDescent="0.2">
      <c r="A5022" s="1" t="s">
        <v>1810</v>
      </c>
      <c r="B5022" s="1" t="str">
        <f ca="1">IFERROR(__xludf.DUMFUNCTION("GOOGLETRANSLATE(A5176,""id"",""en"")"),"ihiyyy sjw  is calling")</f>
        <v>ihiyyy sjw  is calling</v>
      </c>
    </row>
    <row r="5023" spans="1:2" x14ac:dyDescent="0.2">
      <c r="A5023" s="1" t="s">
        <v>5403</v>
      </c>
      <c r="B5023" s="1" t="str">
        <f ca="1">IFERROR(__xludf.DUMFUNCTION("GOOGLETRANSLATE(A5177,""id"",""en"")"),"Really use different  uses to fill the danger of the danger, then the coals are the same as   with the gojek grab different benefits")</f>
        <v>Really use different  uses to fill the danger of the danger, then the coals are the same as   with the gojek grab different benefits</v>
      </c>
    </row>
    <row r="5024" spans="1:2" x14ac:dyDescent="0.2">
      <c r="A5024" s="1" t="s">
        <v>2892</v>
      </c>
      <c r="B5024" s="1" t="str">
        <f ca="1">IFERROR(__xludf.DUMFUNCTION("GOOGLETRANSLATE(A5178,""id"",""en"")"),"List of  Buy Pertalite Solar")</f>
        <v>List of  Buy Pertalite Solar</v>
      </c>
    </row>
    <row r="5025" spans="1:2" x14ac:dyDescent="0.2">
      <c r="A5025" s="1" t="s">
        <v>5404</v>
      </c>
      <c r="B5025" s="1" t="str">
        <f ca="1">IFERROR(__xludf.DUMFUNCTION("GOOGLETRANSLATE(A5179,""id"",""en"")")," Proof of  wide wing wing playing big data pure business important business")</f>
        <v xml:space="preserve"> Proof of  wide wing wing playing big data pure business important business</v>
      </c>
    </row>
    <row r="5026" spans="1:2" x14ac:dyDescent="0.2">
      <c r="A5026" s="1" t="s">
        <v>604</v>
      </c>
      <c r="B5026" s="1" t="str">
        <f ca="1">IFERROR(__xludf.DUMFUNCTION("GOOGLETRANSLATE(A5180,""id"",""en"")"),"Delicious Dgrin Lgsg from the one who is stuck, please admin BUMN admin")</f>
        <v>Delicious Dgrin Lgsg from the one who is stuck, please admin BUMN admin</v>
      </c>
    </row>
    <row r="5027" spans="1:2" x14ac:dyDescent="0.2">
      <c r="A5027" s="1" t="s">
        <v>1811</v>
      </c>
      <c r="B5027" s="1" t="str">
        <f ca="1">IFERROR(__xludf.DUMFUNCTION("GOOGLETRANSLATE(A5181,""id"",""en"")"),"according to the target to achieve  Ideas I don't think the gap is a gap, the gap is a data package")</f>
        <v>according to the target to achieve  Ideas I don't think the gap is a gap, the gap is a data package</v>
      </c>
    </row>
    <row r="5028" spans="1:2" x14ac:dyDescent="0.2">
      <c r="A5028" s="1" t="s">
        <v>5405</v>
      </c>
      <c r="B5028" s="1" t="str">
        <f ca="1">IFERROR(__xludf.DUMFUNCTION("GOOGLETRANSLATE(A5182,""id"",""en"")"),"Logic People Not App   Not Good Mobile Phone telling to buy Pertamax suspicious of the country set the crazy person")</f>
        <v>Logic People Not App   Not Good Mobile Phone telling to buy Pertamax suspicious of the country set the crazy person</v>
      </c>
    </row>
    <row r="5029" spans="1:2" x14ac:dyDescent="0.2">
      <c r="A5029" s="1" t="s">
        <v>5406</v>
      </c>
      <c r="B5029" s="1" t="str">
        <f ca="1">IFERROR(__xludf.DUMFUNCTION("GOOGLETRANSLATE(A5183,""id"",""en"")"),"During drinking water, try economical efforts to be world oil subsidies after the  war, the initiative is the event, the event is a bit of the event with the requirement for the mandatory event,  , there is a lot of download")</f>
        <v>During drinking water, try economical efforts to be world oil subsidies after the  war, the initiative is the event, the event is a bit of the event with the requirement for the mandatory event,  , there is a lot of download</v>
      </c>
    </row>
    <row r="5030" spans="1:2" x14ac:dyDescent="0.2">
      <c r="A5030" s="1" t="s">
        <v>1812</v>
      </c>
      <c r="B5030" s="1" t="str">
        <f ca="1">IFERROR(__xludf.DUMFUNCTION("GOOGLETRANSLATE(A5184,""id"",""en"")"),"pay attention to the obligation to buy fuel subsidies from Pertalite Solar Subsidies  July")</f>
        <v>pay attention to the obligation to buy fuel subsidies from Pertalite Solar Subsidies  July</v>
      </c>
    </row>
    <row r="5031" spans="1:2" x14ac:dyDescent="0.2">
      <c r="A5031" s="1" t="s">
        <v>1813</v>
      </c>
      <c r="B5031" s="1" t="str">
        <f ca="1">IFERROR(__xludf.DUMFUNCTION("GOOGLETRANSLATE(A5185,""id"",""en"")"),"SemarangPedia  Testing Data Data Receive BBM Subsidies  ujicobaPendatan Department of Public Relations of Semarang Pededia SubsidiBM Yogyakarta")</f>
        <v>SemarangPedia  Testing Data Data Receive BBM Subsidies  ujicobaPendatan Department of Public Relations of Semarang Pededia SubsidiBM Yogyakarta</v>
      </c>
    </row>
    <row r="5032" spans="1:2" x14ac:dyDescent="0.2">
      <c r="A5032" s="1" t="s">
        <v>1814</v>
      </c>
      <c r="B5032" s="1" t="str">
        <f ca="1">IFERROR(__xludf.DUMFUNCTION("GOOGLETRANSLATE(A5186,""id"",""en"")"),"Oh Boy Can Wait Until  Get Leaked and Noone Gives Shit")</f>
        <v>Oh Boy Can Wait Until  Get Leaked and Noone Gives Shit</v>
      </c>
    </row>
    <row r="5033" spans="1:2" x14ac:dyDescent="0.2">
      <c r="A5033" s="1" t="s">
        <v>5407</v>
      </c>
      <c r="B5033" s="1" t="str">
        <f ca="1">IFERROR(__xludf.DUMFUNCTION("GOOGLETRANSLATE(A5187,""id"",""en"")"),"Trial Fill in the List of   Applications on July Province")</f>
        <v>Trial Fill in the List of   Applications on July Province</v>
      </c>
    </row>
    <row r="5034" spans="1:2" x14ac:dyDescent="0.2">
      <c r="A5034" s="1" t="s">
        <v>1815</v>
      </c>
      <c r="B5034" s="1" t="str">
        <f ca="1">IFERROR(__xludf.DUMFUNCTION("GOOGLETRANSLATE(A5188,""id"",""en"")")," Loss Trillion Rupiah  Loss Rp. Trillion Commissioner Puja Puj")</f>
        <v xml:space="preserve"> Loss Trillion Rupiah  Loss Rp. Trillion Commissioner Puja Puj</v>
      </c>
    </row>
    <row r="5035" spans="1:2" x14ac:dyDescent="0.2">
      <c r="A5035" s="1" t="s">
        <v>1816</v>
      </c>
      <c r="B5035" s="1" t="str">
        <f ca="1">IFERROR(__xludf.DUMFUNCTION("GOOGLETRANSLATE(A5189,""id"",""en"")")," WHYTAMINA")</f>
        <v xml:space="preserve"> WHYTAMINA</v>
      </c>
    </row>
    <row r="5036" spans="1:2" x14ac:dyDescent="0.2">
      <c r="A5036" s="1" t="s">
        <v>605</v>
      </c>
      <c r="B5036" s="1" t="str">
        <f ca="1">IFERROR(__xludf.DUMFUNCTION("GOOGLETRANSLATE(A5190,""id"",""en"")"),"Booo")</f>
        <v>Booo</v>
      </c>
    </row>
    <row r="5037" spans="1:2" x14ac:dyDescent="0.2">
      <c r="A5037" s="1" t="s">
        <v>1817</v>
      </c>
      <c r="B5037" s="1" t="str">
        <f ca="1">IFERROR(__xludf.DUMFUNCTION("GOOGLETRANSLATE(A5191,""id"",""en"")"),"The country is present, but the people are present, live a complicated life, buying cooking oil, the cellphone cares about the protection of buying fuel, you have to make a cellphone, it will be prohibited from the hp area of ​​the gas station.")</f>
        <v>The country is present, but the people are present, live a complicated life, buying cooking oil, the cellphone cares about the protection of buying fuel, you have to make a cellphone, it will be prohibited from the hp area of ​​the gas station.</v>
      </c>
    </row>
    <row r="5038" spans="1:2" x14ac:dyDescent="0.2">
      <c r="A5038" s="1" t="s">
        <v>1818</v>
      </c>
      <c r="B5038" s="1" t="str">
        <f ca="1">IFERROR(__xludf.DUMFUNCTION("GOOGLETRANSLATE(A5192,""id"",""en"")"),"yes sii better  take care of the retail that passes through the limit of buying a vehicle")</f>
        <v>yes sii better  take care of the retail that passes through the limit of buying a vehicle</v>
      </c>
    </row>
    <row r="5039" spans="1:2" x14ac:dyDescent="0.2">
      <c r="A5039" s="1" t="s">
        <v>5408</v>
      </c>
      <c r="B5039" s="1" t="str">
        <f ca="1">IFERROR(__xludf.DUMFUNCTION("GOOGLETRANSLATE(A5193,""id"",""en"")"),"Use Pertamax Pay   Get an Econo Cashback Stable Fill Pertamax Cashback hehehe the server is not good who queued")</f>
        <v>Use Pertamax Pay   Get an Econo Cashback Stable Fill Pertamax Cashback hehehe the server is not good who queued</v>
      </c>
    </row>
    <row r="5040" spans="1:2" x14ac:dyDescent="0.2">
      <c r="A5040" s="1" t="s">
        <v>5409</v>
      </c>
      <c r="B5040" s="1" t="str">
        <f ca="1">IFERROR(__xludf.DUMFUNCTION("GOOGLETRANSLATE(A5195,""id"",""en"")"),"Discourse for   Application Buy BBM subsidies make people difficult to belong to motorbikes that have not your cellphone that can't be bl.")</f>
        <v>Discourse for   Application Buy BBM subsidies make people difficult to belong to motorbikes that have not your cellphone that can't be bl.</v>
      </c>
    </row>
    <row r="5041" spans="1:2" x14ac:dyDescent="0.2">
      <c r="A5041" s="1" t="s">
        <v>1819</v>
      </c>
      <c r="B5041" s="1" t="str">
        <f ca="1">IFERROR(__xludf.DUMFUNCTION("GOOGLETRANSLATE(A5196,""id"",""en"")"),"so now playing 's cellphone")</f>
        <v>so now playing 's cellphone</v>
      </c>
    </row>
    <row r="5042" spans="1:2" x14ac:dyDescent="0.2">
      <c r="A5042" s="1" t="s">
        <v>1820</v>
      </c>
      <c r="B5042" s="1" t="str">
        <f ca="1">IFERROR(__xludf.DUMFUNCTION("GOOGLETRANSLATE(A5197,""id"",""en"")")," gas station wrote forbidden cellphone photos receive telephone because of the splashing of the cellphone signal eee ladaaalah told to use the app that the memorandum is useful using the internet")</f>
        <v xml:space="preserve"> gas station wrote forbidden cellphone photos receive telephone because of the splashing of the cellphone signal eee ladaaalah told to use the app that the memorandum is useful using the internet</v>
      </c>
    </row>
    <row r="5043" spans="1:2" x14ac:dyDescent="0.2">
      <c r="A5043" s="1" t="s">
        <v>5410</v>
      </c>
      <c r="B5043" s="1" t="str">
        <f ca="1">IFERROR(__xludf.DUMFUNCTION("GOOGLETRANSLATE(A5198,""id"",""en"")"),"Gas Station News Salah Kota Bakar Due to Top Up Consumers of   Application")</f>
        <v>Gas Station News Salah Kota Bakar Due to Top Up Consumers of   Application</v>
      </c>
    </row>
    <row r="5044" spans="1:2" x14ac:dyDescent="0.2">
      <c r="A5044" s="1" t="s">
        <v>5411</v>
      </c>
      <c r="B5044" s="1" t="str">
        <f ca="1">IFERROR(__xludf.DUMFUNCTION("GOOGLETRANSLATE(A5199,""id"",""en"")"),"positive thinking, Ms. BUMN makes  , a form of cooperation in the Indonesian Communication and Information Strong Signal")</f>
        <v>positive thinking, Ms. BUMN makes  , a form of cooperation in the Indonesian Communication and Information Strong Signal</v>
      </c>
    </row>
    <row r="5045" spans="1:2" x14ac:dyDescent="0.2">
      <c r="A5045" s="1" t="s">
        <v>1053</v>
      </c>
      <c r="B5045" s="1" t="str">
        <f ca="1">IFERROR(__xludf.DUMFUNCTION("GOOGLETRANSLATE(A5200,""id"",""en"")"),"What is 's SPBU Congregation")</f>
        <v>What is 's SPBU Congregation</v>
      </c>
    </row>
    <row r="5046" spans="1:2" x14ac:dyDescent="0.2">
      <c r="A5046" s="1" t="s">
        <v>5412</v>
      </c>
      <c r="B5046" s="1" t="str">
        <f ca="1">IFERROR(__xludf.DUMFUNCTION("GOOGLETRANSLATE(A5201,""id"",""en"")"),"Adding to add the application just a cellphone with  petrol")</f>
        <v>Adding to add the application just a cellphone with  petrol</v>
      </c>
    </row>
    <row r="5047" spans="1:2" x14ac:dyDescent="0.2">
      <c r="A5047" s="1" t="s">
        <v>5413</v>
      </c>
      <c r="B5047" s="1" t="str">
        <f ca="1">IFERROR(__xludf.DUMFUNCTION("GOOGLETRANSLATE(A5202,""id"",""en"")")," Buy Pertalite must use the   application to sell a retail, just buy it here, so it's complicated ")</f>
        <v xml:space="preserve"> Buy Pertalite must use the   application to sell a retail, just buy it here, so it's complicated </v>
      </c>
    </row>
    <row r="5048" spans="1:2" x14ac:dyDescent="0.2">
      <c r="A5048" s="1" t="s">
        <v>5414</v>
      </c>
      <c r="B5048" s="1" t="str">
        <f ca="1">IFERROR(__xludf.DUMFUNCTION("GOOGLETRANSLATE(A5203,""id"",""en"")"),"Your dick makes  just waste money, just crazy in using the  app, need the internet to make the app.")</f>
        <v>Your dick makes  just waste money, just crazy in using the  app, need the internet to make the app.</v>
      </c>
    </row>
    <row r="5049" spans="1:2" x14ac:dyDescent="0.2">
      <c r="A5049" s="1" t="s">
        <v>5415</v>
      </c>
      <c r="B5049" s="1" t="str">
        <f ca="1">IFERROR(__xludf.DUMFUNCTION("GOOGLETRANSLATE(A5204,""id"",""en"")"),"calm down account suroboyo sek durung obliged to gawe   gawe tuku bengsin")</f>
        <v>calm down account suroboyo sek durung obliged to gawe   gawe tuku bengsin</v>
      </c>
    </row>
    <row r="5050" spans="1:2" x14ac:dyDescent="0.2">
      <c r="A5050" s="1" t="s">
        <v>1821</v>
      </c>
      <c r="B5050" s="1" t="str">
        <f ca="1">IFERROR(__xludf.DUMFUNCTION("GOOGLETRANSLATE(A5205,""id"",""en"")"),"Still,  also loses")</f>
        <v>Still,  also loses</v>
      </c>
    </row>
    <row r="5051" spans="1:2" x14ac:dyDescent="0.2">
      <c r="A5051" s="1" t="s">
        <v>5416</v>
      </c>
      <c r="B5051" s="1" t="str">
        <f ca="1">IFERROR(__xludf.DUMFUNCTION("GOOGLETRANSLATE(A5206,""id"",""en"")")," Pertamax Bright Gas Gas Giveaway rjbt  Motor Raju Kupake BBM  Tangguh")</f>
        <v xml:space="preserve"> Pertamax Bright Gas Gas Giveaway rjbt  Motor Raju Kupake BBM  Tangguh</v>
      </c>
    </row>
    <row r="5052" spans="1:2" x14ac:dyDescent="0.2">
      <c r="A5052" s="1" t="s">
        <v>5417</v>
      </c>
      <c r="B5052" s="1" t="str">
        <f ca="1">IFERROR(__xludf.DUMFUNCTION("GOOGLETRANSLATE(A5207,""id"",""en"")"),"Wake up to see the news now fill in fuel gas stations make  pffft later  makes fuel gosend")</f>
        <v>Wake up to see the news now fill in fuel gas stations make  pffft later  makes fuel gosend</v>
      </c>
    </row>
    <row r="5053" spans="1:2" x14ac:dyDescent="0.2">
      <c r="A5053" s="1" t="s">
        <v>1822</v>
      </c>
      <c r="B5053" s="1" t="str">
        <f ca="1">IFERROR(__xludf.DUMFUNCTION("GOOGLETRANSLATE(A5208,""id"",""en"")"),"how  don't do the plintat plintut don making confusion of the community")</f>
        <v>how  don't do the plintat plintut don making confusion of the community</v>
      </c>
    </row>
    <row r="5054" spans="1:2" x14ac:dyDescent="0.2">
      <c r="A5054" s="1" t="s">
        <v>1823</v>
      </c>
      <c r="B5054" s="1" t="str">
        <f ca="1">IFERROR(__xludf.DUMFUNCTION("GOOGLETRANSLATE(A5209,""id"",""en"")"),"Mas , hahahahahaa")</f>
        <v>Mas , hahahahahaa</v>
      </c>
    </row>
    <row r="5055" spans="1:2" x14ac:dyDescent="0.2">
      <c r="A5055" s="1" t="s">
        <v>5418</v>
      </c>
      <c r="B5055" s="1" t="str">
        <f ca="1">IFERROR(__xludf.DUMFUNCTION("GOOGLETRANSLATE(A5210,""id"",""en"")"),"oh playing mobile gas stations, hopefully it doesn't become a boom when filling in fuel buying bulk cooking oil using a pertalite protection care using   needs the people difficult to take care of the people, it is difficult")</f>
        <v>oh playing mobile gas stations, hopefully it doesn't become a boom when filling in fuel buying bulk cooking oil using a pertalite protection care using   needs the people difficult to take care of the people, it is difficult</v>
      </c>
    </row>
    <row r="5056" spans="1:2" x14ac:dyDescent="0.2">
      <c r="A5056" s="1" t="s">
        <v>5419</v>
      </c>
      <c r="B5056" s="1" t="str">
        <f ca="1">IFERROR(__xludf.DUMFUNCTION("GOOGLETRANSLATE(A5211,""id"",""en"")"),"The family using   doesn't have a problem so that the APK is used by Cashless org, there is no promo Mager Pertamax safe, yeah using cash")</f>
        <v>The family using   doesn't have a problem so that the APK is used by Cashless org, there is no promo Mager Pertamax safe, yeah using cash</v>
      </c>
    </row>
    <row r="5057" spans="1:2" x14ac:dyDescent="0.2">
      <c r="A5057" s="1" t="s">
        <v>1001</v>
      </c>
      <c r="B5057" s="1" t="str">
        <f ca="1">IFERROR(__xludf.DUMFUNCTION("GOOGLETRANSLATE(A5212,""id"",""en"")")," era ahok is easy")</f>
        <v xml:space="preserve"> era ahok is easy</v>
      </c>
    </row>
    <row r="5058" spans="1:2" x14ac:dyDescent="0.2">
      <c r="A5058" s="1" t="s">
        <v>1824</v>
      </c>
      <c r="B5058" s="1" t="str">
        <f ca="1">IFERROR(__xludf.DUMFUNCTION("GOOGLETRANSLATE(A5213,""id"",""en"")"),"if the smartphone is not how to make the fgd try to clean the palace of , it is wise for the people")</f>
        <v>if the smartphone is not how to make the fgd try to clean the palace of , it is wise for the people</v>
      </c>
    </row>
    <row r="5059" spans="1:2" x14ac:dyDescent="0.2">
      <c r="A5059" s="1" t="s">
        <v>1825</v>
      </c>
      <c r="B5059" s="1" t="str">
        <f ca="1">IFERROR(__xludf.DUMFUNCTION("GOOGLETRANSLATE(A5214,""id"",""en"")"),"Cilacap  Investigates Oil Spill in Don River")</f>
        <v>Cilacap  Investigates Oil Spill in Don River</v>
      </c>
    </row>
    <row r="5060" spans="1:2" x14ac:dyDescent="0.2">
      <c r="A5060" s="1" t="s">
        <v>1826</v>
      </c>
      <c r="B5060" s="1" t="str">
        <f ca="1">IFERROR(__xludf.DUMFUNCTION("GOOGLETRANSLATE(A5215,""id"",""en"")")," Prices Directly Gaes")</f>
        <v xml:space="preserve"> Prices Directly Gaes</v>
      </c>
    </row>
    <row r="5061" spans="1:2" x14ac:dyDescent="0.2">
      <c r="A5061" s="1" t="s">
        <v>5420</v>
      </c>
      <c r="B5061" s="1" t="str">
        <f ca="1">IFERROR(__xludf.DUMFUNCTION("GOOGLETRANSLATE(A5216,""id"",""en"")"),"Photo Buy Pertalite Using the   I VIRAL APP")</f>
        <v>Photo Buy Pertalite Using the   I VIRAL APP</v>
      </c>
    </row>
    <row r="5062" spans="1:2" x14ac:dyDescent="0.2">
      <c r="A5062" s="1" t="s">
        <v>606</v>
      </c>
      <c r="B5062" s="1" t="str">
        <f ca="1">IFERROR(__xludf.DUMFUNCTION("GOOGLETRANSLATE(A5217,""id"",""en"")"),"Fix replace  electric motorbike Hayoh Ngainstallan Application Turning Peuting Hape Pareum Pareum Gasoline Beak Teu Authoring Rudet")</f>
        <v>Fix replace  electric motorbike Hayoh Ngainstallan Application Turning Peuting Hape Pareum Pareum Gasoline Beak Teu Authoring Rudet</v>
      </c>
    </row>
    <row r="5063" spans="1:2" x14ac:dyDescent="0.2">
      <c r="A5063" s="1" t="s">
        <v>607</v>
      </c>
      <c r="B5063" s="1" t="str">
        <f ca="1">IFERROR(__xludf.DUMFUNCTION("GOOGLETRANSLATE(A5218,""id"",""en"")"),"wise transition energy is fast slow")</f>
        <v>wise transition energy is fast slow</v>
      </c>
    </row>
    <row r="5064" spans="1:2" x14ac:dyDescent="0.2">
      <c r="A5064" s="1" t="s">
        <v>1827</v>
      </c>
      <c r="B5064" s="1" t="str">
        <f ca="1">IFERROR(__xludf.DUMFUNCTION("GOOGLETRANSLATE(A5219,""id"",""en"")"),"if  is aware of the trial of the region, just a gas pulse, just eat, thank you, just try to try the developed area")</f>
        <v>if  is aware of the trial of the region, just a gas pulse, just eat, thank you, just try to try the developed area</v>
      </c>
    </row>
    <row r="5065" spans="1:2" x14ac:dyDescent="0.2">
      <c r="A5065" s="1" t="s">
        <v>608</v>
      </c>
      <c r="B5065" s="1" t="str">
        <f ca="1">IFERROR(__xludf.DUMFUNCTION("GOOGLETRANSLATE(A5220,""id"",""en"")"),"Cooperation in the field of Hotel Jalan UMKM Kembang")</f>
        <v>Cooperation in the field of Hotel Jalan UMKM Kembang</v>
      </c>
    </row>
    <row r="5066" spans="1:2" x14ac:dyDescent="0.2">
      <c r="A5066" s="1" t="s">
        <v>609</v>
      </c>
      <c r="B5066" s="1" t="str">
        <f ca="1">IFERROR(__xludf.DUMFUNCTION("GOOGLETRANSLATE(A5221,""id"",""en"")"),"poor people who don't have an Android cellphone don't need subsidized fuel but it's hard to buy a rich cellphone to eat sunti from a subsidized command that is rich")</f>
        <v>poor people who don't have an Android cellphone don't need subsidized fuel but it's hard to buy a rich cellphone to eat sunti from a subsidized command that is rich</v>
      </c>
    </row>
    <row r="5067" spans="1:2" x14ac:dyDescent="0.2">
      <c r="A5067" s="1" t="s">
        <v>1828</v>
      </c>
      <c r="B5067" s="1" t="str">
        <f ca="1">IFERROR(__xludf.DUMFUNCTION("GOOGLETRANSLATE(A5222,""id"",""en"")"),"the average city gas station that uses transactions that use emoney already gas station tasks are damaged, please regular  monev amp upgrade service so that it is more jos")</f>
        <v>the average city gas station that uses transactions that use emoney already gas station tasks are damaged, please regular  monev amp upgrade service so that it is more jos</v>
      </c>
    </row>
    <row r="5068" spans="1:2" x14ac:dyDescent="0.2">
      <c r="A5068" s="1" t="s">
        <v>1829</v>
      </c>
      <c r="B5068" s="1" t="str">
        <f ca="1">IFERROR(__xludf.DUMFUNCTION("GOOGLETRANSLATE(A5223,""id"",""en"")"),"Alhamdulillah,  CSR Borong Price")</f>
        <v>Alhamdulillah,  CSR Borong Price</v>
      </c>
    </row>
    <row r="5069" spans="1:2" x14ac:dyDescent="0.2">
      <c r="A5069" s="1" t="s">
        <v>610</v>
      </c>
      <c r="B5069" s="1" t="str">
        <f ca="1">IFERROR(__xludf.DUMFUNCTION("GOOGLETRANSLATE(A5224,""id"",""en"")"),"strange")</f>
        <v>strange</v>
      </c>
    </row>
    <row r="5070" spans="1:2" x14ac:dyDescent="0.2">
      <c r="A5070" s="1" t="s">
        <v>611</v>
      </c>
      <c r="B5070" s="1" t="str">
        <f ca="1">IFERROR(__xludf.DUMFUNCTION("GOOGLETRANSLATE(A5225,""id"",""en"")"),"hope the formula uses the energy transition process")</f>
        <v>hope the formula uses the energy transition process</v>
      </c>
    </row>
    <row r="5071" spans="1:2" x14ac:dyDescent="0.2">
      <c r="A5071" s="1" t="s">
        <v>5421</v>
      </c>
      <c r="B5071" s="1" t="str">
        <f ca="1">IFERROR(__xludf.DUMFUNCTION("GOOGLETRANSLATE(A5226,""id"",""en"")"),"so the car rental should list   in")</f>
        <v>so the car rental should list   in</v>
      </c>
    </row>
    <row r="5072" spans="1:2" x14ac:dyDescent="0.2">
      <c r="A5072" s="1" t="s">
        <v>1830</v>
      </c>
      <c r="B5072" s="1" t="str">
        <f ca="1">IFERROR(__xludf.DUMFUNCTION("GOOGLETRANSLATE(A5227,""id"",""en"")"),"Burn for the HP gas station  Catching Directors")</f>
        <v>Burn for the HP gas station  Catching Directors</v>
      </c>
    </row>
    <row r="5073" spans="1:2" x14ac:dyDescent="0.2">
      <c r="A5073" s="1" t="s">
        <v>1831</v>
      </c>
      <c r="B5073" s="1" t="str">
        <f ca="1">IFERROR(__xludf.DUMFUNCTION("GOOGLETRANSLATE(A5228,""id"",""en"")"),"Makas tomorrow the office will replace the Ahok Commissioner  wearing a white sleeve roll item shirt")</f>
        <v>Makas tomorrow the office will replace the Ahok Commissioner  wearing a white sleeve roll item shirt</v>
      </c>
    </row>
    <row r="5074" spans="1:2" x14ac:dyDescent="0.2">
      <c r="A5074" s="1" t="s">
        <v>612</v>
      </c>
      <c r="B5074" s="1" t="str">
        <f ca="1">IFERROR(__xludf.DUMFUNCTION("GOOGLETRANSLATE(A5229,""id"",""en"")"),"Alhamdulillah, UMKM has risen")</f>
        <v>Alhamdulillah, UMKM has risen</v>
      </c>
    </row>
    <row r="5075" spans="1:2" x14ac:dyDescent="0.2">
      <c r="A5075" s="1" t="s">
        <v>5422</v>
      </c>
      <c r="B5075" s="1" t="str">
        <f ca="1">IFERROR(__xludf.DUMFUNCTION("GOOGLETRANSLATE(A5230,""id"",""en"")"),"Trial Buy Pertalite Using the   Application Ribet Life Limits of Poor Poor Fishermen Ojeg Fishermen Ojeg Area Vegetable Driver Angkot Hp Hp SMS Telephone The keypad is already the heart")</f>
        <v>Trial Buy Pertalite Using the   Application Ribet Life Limits of Poor Poor Fishermen Ojeg Fishermen Ojeg Area Vegetable Driver Angkot Hp Hp SMS Telephone The keypad is already the heart</v>
      </c>
    </row>
    <row r="5076" spans="1:2" x14ac:dyDescent="0.2">
      <c r="A5076" s="1" t="s">
        <v>613</v>
      </c>
      <c r="B5076" s="1" t="str">
        <f ca="1">IFERROR(__xludf.DUMFUNCTION("GOOGLETRANSLATE(A5231,""id"",""en"")"),"make a functional function for")</f>
        <v>make a functional function for</v>
      </c>
    </row>
    <row r="5077" spans="1:2" x14ac:dyDescent="0.2">
      <c r="A5077" s="1" t="s">
        <v>5423</v>
      </c>
      <c r="B5077" s="1" t="str">
        <f ca="1">IFERROR(__xludf.DUMFUNCTION("GOOGLETRANSLATE(A5232,""id"",""en"")"),"Pertalite   July tomorrow")</f>
        <v>Pertalite   July tomorrow</v>
      </c>
    </row>
    <row r="5078" spans="1:2" x14ac:dyDescent="0.2">
      <c r="A5078" s="1" t="s">
        <v>614</v>
      </c>
      <c r="B5078" s="1" t="str">
        <f ca="1">IFERROR(__xludf.DUMFUNCTION("GOOGLETRANSLATE(A5233,""id"",""en"")"),"come here, Indonesia's life is complicated, the people are prosperous, yes, the people are difficult, it's difficult for a complicated system")</f>
        <v>come here, Indonesia's life is complicated, the people are prosperous, yes, the people are difficult, it's difficult for a complicated system</v>
      </c>
    </row>
    <row r="5079" spans="1:2" x14ac:dyDescent="0.2">
      <c r="A5079" s="1" t="s">
        <v>1832</v>
      </c>
      <c r="B5079" s="1" t="str">
        <f ca="1">IFERROR(__xludf.DUMFUNCTION("GOOGLETRANSLATE(A5234,""id"",""en"")"),"Dr. WWNCRA with a jabat  TV Apply the application already")</f>
        <v>Dr. WWNCRA with a jabat  TV Apply the application already</v>
      </c>
    </row>
    <row r="5080" spans="1:2" x14ac:dyDescent="0.2">
      <c r="A5080" s="1" t="s">
        <v>5424</v>
      </c>
      <c r="B5080" s="1" t="str">
        <f ca="1">IFERROR(__xludf.DUMFUNCTION("GOOGLETRANSLATE(A5235,""id"",""en"")"),"App   for Difficult People to Buy Pertalite Power of Attorney State Difficult People Difficult Lack of Luxury Facilities from People's Money")</f>
        <v>App   for Difficult People to Buy Pertalite Power of Attorney State Difficult People Difficult Lack of Luxury Facilities from People's Money</v>
      </c>
    </row>
    <row r="5081" spans="1:2" x14ac:dyDescent="0.2">
      <c r="A5081" s="1" t="s">
        <v>1833</v>
      </c>
      <c r="B5081" s="1" t="str">
        <f ca="1">IFERROR(__xludf.DUMFUNCTION("GOOGLETRANSLATE(A5236,""id"",""en"")")," is cool achievement")</f>
        <v xml:space="preserve"> is cool achievement</v>
      </c>
    </row>
    <row r="5082" spans="1:2" x14ac:dyDescent="0.2">
      <c r="A5082" s="1" t="s">
        <v>1834</v>
      </c>
      <c r="B5082" s="1" t="str">
        <f ca="1">IFERROR(__xludf.DUMFUNCTION("GOOGLETRANSLATE(A5237,""id"",""en"")")," Pipe Leaks in an Interesting Residents")</f>
        <v xml:space="preserve"> Pipe Leaks in an Interesting Residents</v>
      </c>
    </row>
    <row r="5083" spans="1:2" x14ac:dyDescent="0.2">
      <c r="A5083" s="1" t="s">
        <v>1835</v>
      </c>
      <c r="B5083" s="1" t="str">
        <f ca="1">IFERROR(__xludf.DUMFUNCTION("GOOGLETRANSLATE(A5238,""id"",""en"")"),"Inti Spy Directors AMP Commissioner  Safe Position Dr.")</f>
        <v>Inti Spy Directors AMP Commissioner  Safe Position Dr.</v>
      </c>
    </row>
    <row r="5084" spans="1:2" x14ac:dyDescent="0.2">
      <c r="A5084" s="1" t="s">
        <v>615</v>
      </c>
      <c r="B5084" s="1" t="str">
        <f ca="1">IFERROR(__xludf.DUMFUNCTION("GOOGLETRANSLATE(A5239,""id"",""en"")"),"let's be successful for a while")</f>
        <v>let's be successful for a while</v>
      </c>
    </row>
    <row r="5085" spans="1:2" x14ac:dyDescent="0.2">
      <c r="A5085" s="1" t="s">
        <v>5425</v>
      </c>
      <c r="B5085" s="1" t="str">
        <f ca="1">IFERROR(__xludf.DUMFUNCTION("GOOGLETRANSLATE(A5240,""id"",""en"")"),"buy gasoline using  app   eee ae  ee basic bumn")</f>
        <v>buy gasoline using  app   eee ae  ee basic bumn</v>
      </c>
    </row>
    <row r="5086" spans="1:2" x14ac:dyDescent="0.2">
      <c r="A5086" s="1" t="s">
        <v>5426</v>
      </c>
      <c r="B5086" s="1" t="str">
        <f ca="1">IFERROR(__xludf.DUMFUNCTION("GOOGLETRANSLATE(A5241,""id"",""en"")"),"hw yesterday trending shifted the issue of buying bulk cooking oil using protection care oh yes   solar pertalite wjwj")</f>
        <v>hw yesterday trending shifted the issue of buying bulk cooking oil using protection care oh yes   solar pertalite wjwj</v>
      </c>
    </row>
    <row r="5087" spans="1:2" x14ac:dyDescent="0.2">
      <c r="A5087" s="1" t="s">
        <v>616</v>
      </c>
      <c r="B5087" s="1" t="str">
        <f ca="1">IFERROR(__xludf.DUMFUNCTION("GOOGLETRANSLATE(A5242,""id"",""en"")"),"Had a Flower Field of Hotel")</f>
        <v>Had a Flower Field of Hotel</v>
      </c>
    </row>
    <row r="5088" spans="1:2" x14ac:dyDescent="0.2">
      <c r="A5088" s="1" t="s">
        <v>1836</v>
      </c>
      <c r="B5088" s="1" t="str">
        <f ca="1">IFERROR(__xludf.DUMFUNCTION("GOOGLETRANSLATE(A5243,""id"",""en"")"),"The concept of paradox is really cool ")</f>
        <v xml:space="preserve">The concept of paradox is really cool </v>
      </c>
    </row>
    <row r="5089" spans="1:2" x14ac:dyDescent="0.2">
      <c r="A5089" s="1" t="s">
        <v>5427</v>
      </c>
      <c r="B5089" s="1" t="str">
        <f ca="1">IFERROR(__xludf.DUMFUNCTION("GOOGLETRANSLATE(A5244,""id"",""en"")")," Testing Pertalite Solar Salur  APPLICATION JULY SUBSIDI PERTALITE SOLAR SASAR F MNCTVNEWS  Pertalite Solar BBM ")</f>
        <v xml:space="preserve"> Testing Pertalite Solar Salur  APPLICATION JULY SUBSIDI PERTALITE SOLAR SASAR F MNCTVNEWS  Pertalite Solar BBM </v>
      </c>
    </row>
    <row r="5090" spans="1:2" x14ac:dyDescent="0.2">
      <c r="A5090" s="1" t="s">
        <v>617</v>
      </c>
      <c r="B5090" s="1" t="str">
        <f ca="1">IFERROR(__xludf.DUMFUNCTION("GOOGLETRANSLATE(A5245,""id"",""en"")"),"wise weird using skan skan to see clever to the president")</f>
        <v>wise weird using skan skan to see clever to the president</v>
      </c>
    </row>
    <row r="5091" spans="1:2" x14ac:dyDescent="0.2">
      <c r="A5091" s="1" t="s">
        <v>1837</v>
      </c>
      <c r="B5091" s="1" t="str">
        <f ca="1">IFERROR(__xludf.DUMFUNCTION("GOOGLETRANSLATE(A5246,""id"",""en"")"),"Loss of Rp. Trillion KPK Calls Ahok Kait suspects that there is a Corruption of PT ")</f>
        <v xml:space="preserve">Loss of Rp. Trillion KPK Calls Ahok Kait suspects that there is a Corruption of PT </v>
      </c>
    </row>
    <row r="5092" spans="1:2" x14ac:dyDescent="0.2">
      <c r="A5092" s="1" t="s">
        <v>1838</v>
      </c>
      <c r="B5092" s="1" t="str">
        <f ca="1">IFERROR(__xludf.DUMFUNCTION("GOOGLETRANSLATE(A5247,""id"",""en"")"),"gatau emg wise  stupid then you can develop gasoline yakali understand the hose if gasoline is full")</f>
        <v>gatau emg wise  stupid then you can develop gasoline yakali understand the hose if gasoline is full</v>
      </c>
    </row>
    <row r="5093" spans="1:2" x14ac:dyDescent="0.2">
      <c r="A5093" s="1" t="s">
        <v>618</v>
      </c>
      <c r="B5093" s="1" t="str">
        <f ca="1">IFERROR(__xludf.DUMFUNCTION("GOOGLETRANSLATE(A5248,""id"",""en"")"),"Install Iku Gegoro Umrah Prize is Undi")</f>
        <v>Install Iku Gegoro Umrah Prize is Undi</v>
      </c>
    </row>
    <row r="5094" spans="1:2" x14ac:dyDescent="0.2">
      <c r="A5094" s="1" t="s">
        <v>1839</v>
      </c>
      <c r="B5094" s="1" t="str">
        <f ca="1">IFERROR(__xludf.DUMFUNCTION("GOOGLETRANSLATE(A5249,""id"",""en"")")," Green Corporation Green Andal New Energy EBT")</f>
        <v xml:space="preserve"> Green Corporation Green Andal New Energy EBT</v>
      </c>
    </row>
    <row r="5095" spans="1:2" x14ac:dyDescent="0.2">
      <c r="A5095" s="1" t="s">
        <v>619</v>
      </c>
      <c r="B5095" s="1" t="str">
        <f ca="1">IFERROR(__xludf.DUMFUNCTION("GOOGLETRANSLATE(A5250,""id"",""en"")"),"one of the revelations for the application of the contents of pertalite is difficult for people to stutter technology")</f>
        <v>one of the revelations for the application of the contents of pertalite is difficult for people to stutter technology</v>
      </c>
    </row>
    <row r="5096" spans="1:2" x14ac:dyDescent="0.2">
      <c r="A5096" s="1" t="s">
        <v>1840</v>
      </c>
      <c r="B5096" s="1" t="str">
        <f ca="1">IFERROR(__xludf.DUMFUNCTION("GOOGLETRANSLATE(A5251,""id"",""en"")"),"Hobby data use to determine the marketing of 's front communication makes events that hook hobbies hobbies")</f>
        <v>Hobby data use to determine the marketing of 's front communication makes events that hook hobbies hobbies</v>
      </c>
    </row>
    <row r="5097" spans="1:2" x14ac:dyDescent="0.2">
      <c r="A5097" s="1" t="s">
        <v>1841</v>
      </c>
      <c r="B5097" s="1" t="str">
        <f ca="1">IFERROR(__xludf.DUMFUNCTION("GOOGLETRANSLATE(A5252,""id"",""en"")"),"PT  Persero subsidiary of PT  Patra Niaga Therapy Test Pertalite Solar July")</f>
        <v>PT  Persero subsidiary of PT  Patra Niaga Therapy Test Pertalite Solar July</v>
      </c>
    </row>
    <row r="5098" spans="1:2" x14ac:dyDescent="0.2">
      <c r="A5098" s="1" t="s">
        <v>1842</v>
      </c>
      <c r="B5098" s="1" t="str">
        <f ca="1">IFERROR(__xludf.DUMFUNCTION("GOOGLETRANSLATE(A5253,""id"",""en"")"),"Dr. WWNCRA DG  TV Apply Application KLU SDH Approved Screen Shot SJ Print Klu Laminating Bring like STNK GK times Apply")</f>
        <v>Dr. WWNCRA DG  TV Apply Application KLU SDH Approved Screen Shot SJ Print Klu Laminating Bring like STNK GK times Apply</v>
      </c>
    </row>
    <row r="5099" spans="1:2" x14ac:dyDescent="0.2">
      <c r="A5099" s="1" t="s">
        <v>1843</v>
      </c>
      <c r="B5099" s="1" t="str">
        <f ca="1">IFERROR(__xludf.DUMFUNCTION("GOOGLETRANSLATE(A5254,""id"",""en"")")," Champion River Minister of the Village")</f>
        <v xml:space="preserve"> Champion River Minister of the Village</v>
      </c>
    </row>
    <row r="5100" spans="1:2" x14ac:dyDescent="0.2">
      <c r="A5100" s="1" t="s">
        <v>1844</v>
      </c>
      <c r="B5100" s="1" t="str">
        <f ca="1">IFERROR(__xludf.DUMFUNCTION("GOOGLETRANSLATE(A5255,""id"",""en"")"),"Pertalite JT is a BABE MONEY KOQ KOQ VOUCHER PERTALITE KMU HRS KSH ORG YG PERTALITE TO SAID BABE BABE TAMBAYONG DUIT VOUCHER THAT PRINT  TO AMBYAR")</f>
        <v>Pertalite JT is a BABE MONEY KOQ KOQ VOUCHER PERTALITE KMU HRS KSH ORG YG PERTALITE TO SAID BABE BABE TAMBAYONG DUIT VOUCHER THAT PRINT  TO AMBYAR</v>
      </c>
    </row>
    <row r="5101" spans="1:2" x14ac:dyDescent="0.2">
      <c r="A5101" s="1" t="s">
        <v>5428</v>
      </c>
      <c r="B5101" s="1" t="str">
        <f ca="1">IFERROR(__xludf.DUMFUNCTION("GOOGLETRANSLATE(A5256,""id"",""en"")"),"Province try to buy Pertalite via  Sulsel Read complete with Beritaterkini Online Media News BreakingNews Pertalite Solar Pertamax   Sulsel Indonesia Province")</f>
        <v>Province try to buy Pertalite via  Sulsel Read complete with Beritaterkini Online Media News BreakingNews Pertalite Solar Pertamax   Sulsel Indonesia Province</v>
      </c>
    </row>
    <row r="5102" spans="1:2" x14ac:dyDescent="0.2">
      <c r="A5102" s="1" t="s">
        <v>5429</v>
      </c>
      <c r="B5102" s="1" t="str">
        <f ca="1">IFERROR(__xludf.DUMFUNCTION("GOOGLETRANSLATE(A5257,""id"",""en"")"),"Yes, buy fuel for solar dFTRBdi  , it's easy to add to the good cellphone, the internet can install the app etc. how about the village")</f>
        <v>Yes, buy fuel for solar dFTRBdi  , it's easy to add to the good cellphone, the internet can install the app etc. how about the village</v>
      </c>
    </row>
    <row r="5103" spans="1:2" x14ac:dyDescent="0.2">
      <c r="A5103" s="1" t="s">
        <v>620</v>
      </c>
      <c r="B5103" s="1" t="str">
        <f ca="1">IFERROR(__xludf.DUMFUNCTION("GOOGLETRANSLATE(A5259,""id"",""en"")"),"wise transition of gasken energy")</f>
        <v>wise transition of gasken energy</v>
      </c>
    </row>
    <row r="5104" spans="1:2" x14ac:dyDescent="0.2">
      <c r="A5104" s="1" t="s">
        <v>1845</v>
      </c>
      <c r="B5104" s="1" t="str">
        <f ca="1">IFERROR(__xludf.DUMFUNCTION("GOOGLETRANSLATE(A5260,""id"",""en"")"),"UMKM Bina  Mantul")</f>
        <v>UMKM Bina  Mantul</v>
      </c>
    </row>
    <row r="5105" spans="1:2" x14ac:dyDescent="0.2">
      <c r="A5105" s="1" t="s">
        <v>1846</v>
      </c>
      <c r="B5105" s="1" t="str">
        <f ca="1">IFERROR(__xludf.DUMFUNCTION("GOOGLETRANSLATE(A5261,""id"",""en"")"),"ITO GITING EATING DIFFICULT YOU IT YOU TO BUY PACKAGE DATA  HAVE QUALITY WITH OPERAT COMMUNICATION")</f>
        <v>ITO GITING EATING DIFFICULT YOU IT YOU TO BUY PACKAGE DATA  HAVE QUALITY WITH OPERAT COMMUNICATION</v>
      </c>
    </row>
    <row r="5106" spans="1:2" x14ac:dyDescent="0.2">
      <c r="A5106" s="1" t="s">
        <v>1847</v>
      </c>
      <c r="B5106" s="1" t="str">
        <f ca="1">IFERROR(__xludf.DUMFUNCTION("GOOGLETRANSLATE(A5262,""id"",""en"")"),"Those who remote the internet are difficult to open cellphones entering the internet application if wise survey boss analysis of the location of  Indonesia understands you")</f>
        <v>Those who remote the internet are difficult to open cellphones entering the internet application if wise survey boss analysis of the location of  Indonesia understands you</v>
      </c>
    </row>
    <row r="5107" spans="1:2" x14ac:dyDescent="0.2">
      <c r="A5107" s="1" t="s">
        <v>1848</v>
      </c>
      <c r="B5107" s="1" t="str">
        <f ca="1">IFERROR(__xludf.DUMFUNCTION("GOOGLETRANSLATE(A5263,""id"",""en"")")," People Idea Buy BBM Using the Nyawotin Application")</f>
        <v xml:space="preserve"> People Idea Buy BBM Using the Nyawotin Application</v>
      </c>
    </row>
    <row r="5108" spans="1:2" x14ac:dyDescent="0.2">
      <c r="A5108" s="1" t="s">
        <v>5430</v>
      </c>
      <c r="B5108" s="1" t="str">
        <f ca="1">IFERROR(__xludf.DUMFUNCTION("GOOGLETRANSLATE(A5264,""id"",""en"")"),"Neng top up the link just gawe   hmmmmmmmmmm")</f>
        <v>Neng top up the link just gawe   hmmmmmmmmmm</v>
      </c>
    </row>
    <row r="5109" spans="1:2" x14ac:dyDescent="0.2">
      <c r="A5109" s="1" t="s">
        <v>621</v>
      </c>
      <c r="B5109" s="1" t="str">
        <f ca="1">IFERROR(__xludf.DUMFUNCTION("GOOGLETRANSLATE(A5265,""id"",""en"")"),"Must DM Min")</f>
        <v>Must DM Min</v>
      </c>
    </row>
    <row r="5110" spans="1:2" x14ac:dyDescent="0.2">
      <c r="A5110" s="1" t="s">
        <v>5431</v>
      </c>
      <c r="B5110" s="1" t="str">
        <f ca="1">IFERROR(__xludf.DUMFUNCTION("GOOGLETRANSLATE(A5266,""id"",""en"")"),"I have to fill in full pertalite using  ")</f>
        <v xml:space="preserve">I have to fill in full pertalite using  </v>
      </c>
    </row>
    <row r="5111" spans="1:2" x14ac:dyDescent="0.2">
      <c r="A5111" s="1" t="s">
        <v>1849</v>
      </c>
      <c r="B5111" s="1" t="str">
        <f ca="1">IFERROR(__xludf.DUMFUNCTION("GOOGLETRANSLATE(A5267,""id"",""en"")"),"canned cans directly the price of  is mantul")</f>
        <v>canned cans directly the price of  is mantul</v>
      </c>
    </row>
    <row r="5112" spans="1:2" x14ac:dyDescent="0.2">
      <c r="A5112" s="1" t="s">
        <v>5432</v>
      </c>
      <c r="B5112" s="1" t="str">
        <f ca="1">IFERROR(__xludf.DUMFUNCTION("GOOGLETRANSLATE(A5268,""id"",""en"")"),"Fill using   Sorry, the old school cellphone is filled up, I help push the gasoline after the bus")</f>
        <v>Fill using   Sorry, the old school cellphone is filled up, I help push the gasoline after the bus</v>
      </c>
    </row>
    <row r="5113" spans="1:2" x14ac:dyDescent="0.2">
      <c r="A5113" s="1" t="s">
        <v>1850</v>
      </c>
      <c r="B5113" s="1" t="str">
        <f ca="1">IFERROR(__xludf.DUMFUNCTION("GOOGLETRANSLATE(A5269,""id"",""en"")"),"Yogyakarta City Test  data trials")</f>
        <v>Yogyakarta City Test  data trials</v>
      </c>
    </row>
    <row r="5114" spans="1:2" x14ac:dyDescent="0.2">
      <c r="A5114" s="1" t="s">
        <v>5433</v>
      </c>
      <c r="B5114" s="1" t="str">
        <f ca="1">IFERROR(__xludf.DUMFUNCTION("GOOGLETRANSLATE(A5270,""id"",""en"")"),"Farmers Confused Operational Machines Buy Solar Pertalite How to Check the Application Only the Chat Wheel Service   Greight of Trying Call Center Fafifu Selecting Pulses Ampe After Cok")</f>
        <v>Farmers Confused Operational Machines Buy Solar Pertalite How to Check the Application Only the Chat Wheel Service   Greight of Trying Call Center Fafifu Selecting Pulses Ampe After Cok</v>
      </c>
    </row>
    <row r="5115" spans="1:2" x14ac:dyDescent="0.2">
      <c r="A5115" s="1" t="s">
        <v>1850</v>
      </c>
      <c r="B5115" s="1" t="str">
        <f ca="1">IFERROR(__xludf.DUMFUNCTION("GOOGLETRANSLATE(A5271,""id"",""en"")"),"Yogyakarta City Test  data trials")</f>
        <v>Yogyakarta City Test  data trials</v>
      </c>
    </row>
    <row r="5116" spans="1:2" x14ac:dyDescent="0.2">
      <c r="A5116" s="1" t="s">
        <v>622</v>
      </c>
      <c r="B5116" s="1" t="str">
        <f ca="1">IFERROR(__xludf.DUMFUNCTION("GOOGLETRANSLATE(A5272,""id"",""en"")"),"success")</f>
        <v>success</v>
      </c>
    </row>
    <row r="5117" spans="1:2" x14ac:dyDescent="0.2">
      <c r="A5117" s="1" t="s">
        <v>1851</v>
      </c>
      <c r="B5117" s="1" t="str">
        <f ca="1">IFERROR(__xludf.DUMFUNCTION("GOOGLETRANSLATE(A5273,""id"",""en"")"),"Thank you, Mas Mas ")</f>
        <v xml:space="preserve">Thank you, Mas Mas </v>
      </c>
    </row>
    <row r="5118" spans="1:2" x14ac:dyDescent="0.2">
      <c r="A5118" s="1" t="s">
        <v>623</v>
      </c>
      <c r="B5118" s="1" t="str">
        <f ca="1">IFERROR(__xludf.DUMFUNCTION("GOOGLETRANSLATE(A5274,""id"",""en"")"),"Cool Umkm Business Flower Field Hotel Field")</f>
        <v>Cool Umkm Business Flower Field Hotel Field</v>
      </c>
    </row>
    <row r="5119" spans="1:2" x14ac:dyDescent="0.2">
      <c r="A5119" s="1" t="s">
        <v>5434</v>
      </c>
      <c r="B5119" s="1" t="str">
        <f ca="1">IFERROR(__xludf.DUMFUNCTION("GOOGLETRANSLATE(A5275,""id"",""en"")"),"Do not think if you buy oil, make care of protection to pay for BBM using   which incidentally forbids for the cellphone gas station.")</f>
        <v>Do not think if you buy oil, make care of protection to pay for BBM using   which incidentally forbids for the cellphone gas station.</v>
      </c>
    </row>
    <row r="5120" spans="1:2" x14ac:dyDescent="0.2">
      <c r="A5120" s="1" t="s">
        <v>1852</v>
      </c>
      <c r="B5120" s="1" t="str">
        <f ca="1">IFERROR(__xludf.DUMFUNCTION("GOOGLETRANSLATE(A5276,""id"",""en"")")," Lu Masang Forbid Maen Hp Gas Station for If you buy BBM to tell the application")</f>
        <v xml:space="preserve"> Lu Masang Forbid Maen Hp Gas Station for If you buy BBM to tell the application</v>
      </c>
    </row>
    <row r="5121" spans="1:2" x14ac:dyDescent="0.2">
      <c r="A5121" s="1" t="s">
        <v>1853</v>
      </c>
      <c r="B5121" s="1" t="str">
        <f ca="1">IFERROR(__xludf.DUMFUNCTION("GOOGLETRANSLATE(A5277,""id"",""en"")"),"Boroboro uses the receipt of people, sometimes it doesn't give up paper abisss manual receipt paper abissss")</f>
        <v>Boroboro uses the receipt of people, sometimes it doesn't give up paper abisss manual receipt paper abissss</v>
      </c>
    </row>
    <row r="5122" spans="1:2" x14ac:dyDescent="0.2">
      <c r="A5122" s="1" t="s">
        <v>1854</v>
      </c>
      <c r="B5122" s="1" t="str">
        <f ca="1">IFERROR(__xludf.DUMFUNCTION("GOOGLETRANSLATE(A5279,""id"",""en"")"),"'s woman")</f>
        <v>'s woman</v>
      </c>
    </row>
    <row r="5123" spans="1:2" x14ac:dyDescent="0.2">
      <c r="A5123" s="1" t="s">
        <v>1855</v>
      </c>
      <c r="B5123" s="1" t="str">
        <f ca="1">IFERROR(__xludf.DUMFUNCTION("GOOGLETRANSLATE(A5280,""id"",""en"")"),"selling  gasoline dmn so lazy to queue for  gasoline complicated")</f>
        <v>selling  gasoline dmn so lazy to queue for  gasoline complicated</v>
      </c>
    </row>
    <row r="5124" spans="1:2" x14ac:dyDescent="0.2">
      <c r="A5124" s="1" t="s">
        <v>1856</v>
      </c>
      <c r="B5124" s="1" t="str">
        <f ca="1">IFERROR(__xludf.DUMFUNCTION("GOOGLETRANSLATE(A5281,""id"",""en"")")," Program")</f>
        <v xml:space="preserve"> Program</v>
      </c>
    </row>
    <row r="5125" spans="1:2" x14ac:dyDescent="0.2">
      <c r="A5125" s="1" t="s">
        <v>624</v>
      </c>
      <c r="B5125" s="1" t="str">
        <f ca="1">IFERROR(__xludf.DUMFUNCTION("GOOGLETRANSLATE(A5282,""id"",""en"")"),"good breakdown matul karan good car luxury bbm defender sungsidi until I negatively mibil ejak bang bang poor people luxury cars ko buy fuel supsidi delicious bbm supsidi")</f>
        <v>good breakdown matul karan good car luxury bbm defender sungsidi until I negatively mibil ejak bang bang poor people luxury cars ko buy fuel supsidi delicious bbm supsidi</v>
      </c>
    </row>
    <row r="5126" spans="1:2" x14ac:dyDescent="0.2">
      <c r="A5126" s="1" t="s">
        <v>1857</v>
      </c>
      <c r="B5126" s="1" t="str">
        <f ca="1">IFERROR(__xludf.DUMFUNCTION("GOOGLETRANSLATE(A5283,""id"",""en"")"),"Really, bro, the homework,  is pretty good, the socialization of the system to buy gasoline needs a decent one")</f>
        <v>Really, bro, the homework,  is pretty good, the socialization of the system to buy gasoline needs a decent one</v>
      </c>
    </row>
    <row r="5127" spans="1:2" x14ac:dyDescent="0.2">
      <c r="A5127" s="1" t="s">
        <v>1858</v>
      </c>
      <c r="B5127" s="1" t="str">
        <f ca="1">IFERROR(__xludf.DUMFUNCTION("GOOGLETRANSLATE(A5284,""id"",""en"")")," Oil Achievement in  Achievement")</f>
        <v xml:space="preserve"> Oil Achievement in  Achievement</v>
      </c>
    </row>
    <row r="5128" spans="1:2" x14ac:dyDescent="0.2">
      <c r="A5128" s="1" t="s">
        <v>625</v>
      </c>
      <c r="B5128" s="1" t="str">
        <f ca="1">IFERROR(__xludf.DUMFUNCTION("GOOGLETRANSLATE(A5285,""id"",""en"")"),"The Russia Ukraine war makes commodities unstable")</f>
        <v>The Russia Ukraine war makes commodities unstable</v>
      </c>
    </row>
    <row r="5129" spans="1:2" x14ac:dyDescent="0.2">
      <c r="A5129" s="1" t="s">
        <v>1859</v>
      </c>
      <c r="B5129" s="1" t="str">
        <f ca="1">IFERROR(__xludf.DUMFUNCTION("GOOGLETRANSLATE(A5286,""id"",""en"")"),"WHYYYY  WHYYY")</f>
        <v>WHYYYY  WHYYY</v>
      </c>
    </row>
    <row r="5130" spans="1:2" x14ac:dyDescent="0.2">
      <c r="A5130" s="1" t="s">
        <v>626</v>
      </c>
      <c r="B5130" s="1" t="str">
        <f ca="1">IFERROR(__xludf.DUMFUNCTION("GOOGLETRANSLATE(A5287,""id"",""en"")"),"hopefully good results")</f>
        <v>hopefully good results</v>
      </c>
    </row>
    <row r="5131" spans="1:2" x14ac:dyDescent="0.2">
      <c r="A5131" s="1" t="s">
        <v>5435</v>
      </c>
      <c r="B5131" s="1" t="str">
        <f ca="1">IFERROR(__xludf.DUMFUNCTION("GOOGLETRANSLATE(A5288,""id"",""en"")")," Solds Trial Limits of Buying BBM Pertalite Solar July ")</f>
        <v xml:space="preserve"> Solds Trial Limits of Buying BBM Pertalite Solar July </v>
      </c>
    </row>
    <row r="5132" spans="1:2" x14ac:dyDescent="0.2">
      <c r="A5132" s="1" t="s">
        <v>5436</v>
      </c>
      <c r="B5132" s="1" t="str">
        <f ca="1">IFERROR(__xludf.DUMFUNCTION("GOOGLETRANSLATE(A5289,""id"",""en"")"),"Pertalite Using   Cooking Oil Oak Cares Careful Kallo Protection Easy")</f>
        <v>Pertalite Using   Cooking Oil Oak Cares Careful Kallo Protection Easy</v>
      </c>
    </row>
    <row r="5133" spans="1:2" x14ac:dyDescent="0.2">
      <c r="A5133" s="1" t="s">
        <v>627</v>
      </c>
      <c r="B5133" s="1" t="str">
        <f ca="1">IFERROR(__xludf.DUMFUNCTION("GOOGLETRANSLATE(A5290,""id"",""en"")"),"Serang Storm Covid Alhamdulillah UMKM Rise")</f>
        <v>Serang Storm Covid Alhamdulillah UMKM Rise</v>
      </c>
    </row>
    <row r="5134" spans="1:2" x14ac:dyDescent="0.2">
      <c r="A5134" s="1" t="s">
        <v>1860</v>
      </c>
      <c r="B5134" s="1" t="str">
        <f ca="1">IFERROR(__xludf.DUMFUNCTION("GOOGLETRANSLATE(A5291,""id"",""en"")"),"correct your brain, bro, support ")</f>
        <v xml:space="preserve">correct your brain, bro, support </v>
      </c>
    </row>
    <row r="5135" spans="1:2" x14ac:dyDescent="0.2">
      <c r="A5135" s="1" t="s">
        <v>1861</v>
      </c>
      <c r="B5135" s="1" t="str">
        <f ca="1">IFERROR(__xludf.DUMFUNCTION("GOOGLETRANSLATE(A5292,""id"",""en"")")," to Compensate Residents Who Help Clean Oil Spill Tempoenglish")</f>
        <v xml:space="preserve"> to Compensate Residents Who Help Clean Oil Spill Tempoenglish</v>
      </c>
    </row>
    <row r="5136" spans="1:2" x14ac:dyDescent="0.2">
      <c r="A5136" s="1" t="s">
        <v>628</v>
      </c>
      <c r="B5136" s="1" t="str">
        <f ca="1">IFERROR(__xludf.DUMFUNCTION("GOOGLETRANSLATE(A5293,""id"",""en"")"),"okeyy mba")</f>
        <v>okeyy mba</v>
      </c>
    </row>
    <row r="5137" spans="1:2" x14ac:dyDescent="0.2">
      <c r="A5137" s="1" t="s">
        <v>5437</v>
      </c>
      <c r="B5137" s="1" t="str">
        <f ca="1">IFERROR(__xludf.DUMFUNCTION("GOOGLETRANSLATE(A5294,""id"",""en"")"),"wonder sms from   entered buying bbm pkk app yes no login the app, but why enter sms yaaaa")</f>
        <v>wonder sms from   entered buying bbm pkk app yes no login the app, but why enter sms yaaaa</v>
      </c>
    </row>
    <row r="5138" spans="1:2" x14ac:dyDescent="0.2">
      <c r="A5138" s="1" t="s">
        <v>1862</v>
      </c>
      <c r="B5138" s="1" t="str">
        <f ca="1">IFERROR(__xludf.DUMFUNCTION("GOOGLETRANSLATE(A5295,""id"",""en"")"),"Shell Pom who has a green color forgot the name not retail not buying  to give up if it is simultaneously because it can go down due to wise")</f>
        <v>Shell Pom who has a green color forgot the name not retail not buying  to give up if it is simultaneously because it can go down due to wise</v>
      </c>
    </row>
    <row r="5139" spans="1:2" x14ac:dyDescent="0.2">
      <c r="A5139" s="1" t="s">
        <v>1863</v>
      </c>
      <c r="B5139" s="1" t="str">
        <f ca="1">IFERROR(__xludf.DUMFUNCTION("GOOGLETRANSLATE(A5296,""id"",""en"")"),"Metro Yogyakarta Requirements for a Complete Subsidized BBM DOHABERS CLICK CLICK YOGYAKARTA  SPBU BBMSUBSIDI")</f>
        <v>Metro Yogyakarta Requirements for a Complete Subsidized BBM DOHABERS CLICK CLICK YOGYAKARTA  SPBU BBMSUBSIDI</v>
      </c>
    </row>
    <row r="5140" spans="1:2" x14ac:dyDescent="0.2">
      <c r="A5140" s="1" t="s">
        <v>5438</v>
      </c>
      <c r="B5140" s="1" t="str">
        <f ca="1">IFERROR(__xludf.DUMFUNCTION("GOOGLETRANSLATE(A5297,""id"",""en"")"),"The Oil Boss's Boss Losses Komut in the Heart, how come the island rowing is the application of   applications forced the public to use the app if you don't use it, you can't buy the oil of the Bossss Bossss.")</f>
        <v>The Oil Boss's Boss Losses Komut in the Heart, how come the island rowing is the application of   applications forced the public to use the app if you don't use it, you can't buy the oil of the Bossss Bossss.</v>
      </c>
    </row>
    <row r="5141" spans="1:2" x14ac:dyDescent="0.2">
      <c r="A5141" s="1" t="s">
        <v>5439</v>
      </c>
      <c r="B5141" s="1" t="str">
        <f ca="1">IFERROR(__xludf.DUMFUNCTION("GOOGLETRANSLATE(A5298,""id"",""en"")"),"Here is the efficiency of POM employees need minutes to typing the engine, buy  , give a discount like Shopee")</f>
        <v>Here is the efficiency of POM employees need minutes to typing the engine, buy  , give a discount like Shopee</v>
      </c>
    </row>
    <row r="5142" spans="1:2" x14ac:dyDescent="0.2">
      <c r="A5142" s="1" t="s">
        <v>1864</v>
      </c>
      <c r="B5142" s="1" t="str">
        <f ca="1">IFERROR(__xludf.DUMFUNCTION("GOOGLETRANSLATE(A5299,""id"",""en"")"),"'s achievements")</f>
        <v>'s achievements</v>
      </c>
    </row>
    <row r="5143" spans="1:2" x14ac:dyDescent="0.2">
      <c r="A5143" s="1" t="s">
        <v>1865</v>
      </c>
      <c r="B5143" s="1" t="str">
        <f ca="1">IFERROR(__xludf.DUMFUNCTION("GOOGLETRANSLATE(A5300,""id"",""en"")"),"I really have a  kekititan, really digital, it's better to take care of the task that does not open the post when the prime time hours fill in gasoline if you are marketing, so you don't like that, it's not like that.")</f>
        <v>I really have a  kekititan, really digital, it's better to take care of the task that does not open the post when the prime time hours fill in gasoline if you are marketing, so you don't like that, it's not like that.</v>
      </c>
    </row>
    <row r="5144" spans="1:2" x14ac:dyDescent="0.2">
      <c r="A5144" s="1" t="s">
        <v>5435</v>
      </c>
      <c r="B5144" s="1" t="str">
        <f ca="1">IFERROR(__xludf.DUMFUNCTION("GOOGLETRANSLATE(A5301,""id"",""en"")")," Solds Trial Limits of Buying BBM Pertalite Solar July ")</f>
        <v xml:space="preserve"> Solds Trial Limits of Buying BBM Pertalite Solar July </v>
      </c>
    </row>
    <row r="5145" spans="1:2" x14ac:dyDescent="0.2">
      <c r="A5145" s="1" t="s">
        <v>629</v>
      </c>
      <c r="B5145" s="1" t="str">
        <f ca="1">IFERROR(__xludf.DUMFUNCTION("GOOGLETRANSLATE(A5302,""id"",""en"")"),"Success wise results")</f>
        <v>Success wise results</v>
      </c>
    </row>
    <row r="5146" spans="1:2" x14ac:dyDescent="0.2">
      <c r="A5146" s="1" t="s">
        <v>630</v>
      </c>
      <c r="B5146" s="1" t="str">
        <f ca="1">IFERROR(__xludf.DUMFUNCTION("GOOGLETRANSLATE(A5303,""id"",""en"")"),"Just bother")</f>
        <v>Just bother</v>
      </c>
    </row>
    <row r="5147" spans="1:2" x14ac:dyDescent="0.2">
      <c r="A5147" s="1" t="s">
        <v>631</v>
      </c>
      <c r="B5147" s="1" t="str">
        <f ca="1">IFERROR(__xludf.DUMFUNCTION("GOOGLETRANSLATE(A5304,""id"",""en"")"),"Enterprising business encourages MSMEs forward")</f>
        <v>Enterprising business encourages MSMEs forward</v>
      </c>
    </row>
    <row r="5148" spans="1:2" x14ac:dyDescent="0.2">
      <c r="A5148" s="1" t="s">
        <v>1866</v>
      </c>
      <c r="B5148" s="1" t="str">
        <f ca="1">IFERROR(__xludf.DUMFUNCTION("GOOGLETRANSLATE(A5305,""id"",""en"")"),"Rasain the Era of Digitalization of Ken , Maksin Makg Where made the app easy")</f>
        <v>Rasain the Era of Digitalization of Ken , Maksin Makg Where made the app easy</v>
      </c>
    </row>
    <row r="5149" spans="1:2" x14ac:dyDescent="0.2">
      <c r="A5149" s="1" t="s">
        <v>1867</v>
      </c>
      <c r="B5149" s="1" t="str">
        <f ca="1">IFERROR(__xludf.DUMFUNCTION("GOOGLETRANSLATE(A5306,""id"",""en"")")," people think about the one with the elderly gasoline")</f>
        <v xml:space="preserve"> people think about the one with the elderly gasoline</v>
      </c>
    </row>
    <row r="5150" spans="1:2" x14ac:dyDescent="0.2">
      <c r="A5150" s="1" t="s">
        <v>1868</v>
      </c>
      <c r="B5150" s="1" t="str">
        <f ca="1">IFERROR(__xludf.DUMFUNCTION("GOOGLETRANSLATE(A5307,""id"",""en"")"),"Rather to Buy Pom Gasoline State which is easily expensive, complicated, , it's better")</f>
        <v>Rather to Buy Pom Gasoline State which is easily expensive, complicated, , it's better</v>
      </c>
    </row>
    <row r="5151" spans="1:2" x14ac:dyDescent="0.2">
      <c r="A5151" s="1" t="s">
        <v>1869</v>
      </c>
      <c r="B5151" s="1" t="str">
        <f ca="1">IFERROR(__xludf.DUMFUNCTION("GOOGLETRANSLATE(A5308,""id"",""en"")"),"Besides, the name of 's subsidized is not weighing the type of cellphone using a subsidized download the WhatsApp application, a little bit, notif your disk is running out of space")</f>
        <v>Besides, the name of 's subsidized is not weighing the type of cellphone using a subsidized download the WhatsApp application, a little bit, notif your disk is running out of space</v>
      </c>
    </row>
    <row r="5152" spans="1:2" x14ac:dyDescent="0.2">
      <c r="A5152" s="1" t="s">
        <v>1870</v>
      </c>
      <c r="B5152" s="1" t="str">
        <f ca="1">IFERROR(__xludf.DUMFUNCTION("GOOGLETRANSLATE(A5309,""id"",""en"")")," Encourages MSMEs Forward Flower")</f>
        <v xml:space="preserve"> Encourages MSMEs Forward Flower</v>
      </c>
    </row>
    <row r="5153" spans="1:2" x14ac:dyDescent="0.2">
      <c r="A5153" s="1" t="s">
        <v>1871</v>
      </c>
      <c r="B5153" s="1" t="str">
        <f ca="1">IFERROR(__xludf.DUMFUNCTION("GOOGLETRANSLATE(A5310,""id"",""en"")"),"If the order of  is smart pro -people using a car using a subsidized border application that uses a car, it must")</f>
        <v>If the order of  is smart pro -people using a car using a subsidized border application that uses a car, it must</v>
      </c>
    </row>
    <row r="5154" spans="1:2" x14ac:dyDescent="0.2">
      <c r="A5154" s="1" t="s">
        <v>5440</v>
      </c>
      <c r="B5154" s="1" t="str">
        <f ca="1">IFERROR(__xludf.DUMFUNCTION("GOOGLETRANSLATE(A5311,""id"",""en"")"),"Bismillah Answer   Bright Gas Pertamax Giveaway rjbt  Yuk Bestie join")</f>
        <v>Bismillah Answer   Bright Gas Pertamax Giveaway rjbt  Yuk Bestie join</v>
      </c>
    </row>
    <row r="5155" spans="1:2" x14ac:dyDescent="0.2">
      <c r="A5155" s="1" t="s">
        <v>632</v>
      </c>
      <c r="B5155" s="1" t="str">
        <f ca="1">IFERROR(__xludf.DUMFUNCTION("GOOGLETRANSLATE(A5312,""id"",""en"")"),"energy transition wise design")</f>
        <v>energy transition wise design</v>
      </c>
    </row>
    <row r="5156" spans="1:2" x14ac:dyDescent="0.2">
      <c r="A5156" s="1" t="s">
        <v>1872</v>
      </c>
      <c r="B5156" s="1" t="str">
        <f ca="1">IFERROR(__xludf.DUMFUNCTION("GOOGLETRANSLATE(A5313,""id"",""en"")"),"Dr. Ya ")</f>
        <v xml:space="preserve">Dr. Ya </v>
      </c>
    </row>
    <row r="5157" spans="1:2" x14ac:dyDescent="0.2">
      <c r="A5157" s="1" t="s">
        <v>1873</v>
      </c>
      <c r="B5157" s="1" t="str">
        <f ca="1">IFERROR(__xludf.DUMFUNCTION("GOOGLETRANSLATE(A5314,""id"",""en"")"),"Wow  immediately bought up the price of a great price")</f>
        <v>Wow  immediately bought up the price of a great price</v>
      </c>
    </row>
    <row r="5158" spans="1:2" x14ac:dyDescent="0.2">
      <c r="A5158" s="1" t="s">
        <v>1874</v>
      </c>
      <c r="B5158" s="1" t="str">
        <f ca="1">IFERROR(__xludf.DUMFUNCTION("GOOGLETRANSLATE(A5315,""id"",""en"")"),"accepting me, the marketing strategy of  is lazy")</f>
        <v>accepting me, the marketing strategy of  is lazy</v>
      </c>
    </row>
    <row r="5159" spans="1:2" x14ac:dyDescent="0.2">
      <c r="A5159" s="1" t="s">
        <v>5441</v>
      </c>
      <c r="B5159" s="1" t="str">
        <f ca="1">IFERROR(__xludf.DUMFUNCTION("GOOGLETRANSLATE(A5316,""id"",""en"")"),"I when I list  , the application says I uninstall afraid")</f>
        <v>I when I list  , the application says I uninstall afraid</v>
      </c>
    </row>
    <row r="5160" spans="1:2" x14ac:dyDescent="0.2">
      <c r="A5160" s="1" t="s">
        <v>5442</v>
      </c>
      <c r="B5160" s="1" t="str">
        <f ca="1">IFERROR(__xludf.DUMFUNCTION("GOOGLETRANSLATE(A5317,""id"",""en"")"),"please info on   application so you can connect with   card")</f>
        <v>please info on   application so you can connect with   card</v>
      </c>
    </row>
    <row r="5161" spans="1:2" x14ac:dyDescent="0.2">
      <c r="A5161" s="1" t="s">
        <v>1875</v>
      </c>
      <c r="B5161" s="1" t="str">
        <f ca="1">IFERROR(__xludf.DUMFUNCTION("GOOGLETRANSLATE(A5318,""id"",""en"")")," Jos")</f>
        <v xml:space="preserve"> Jos</v>
      </c>
    </row>
    <row r="5162" spans="1:2" x14ac:dyDescent="0.2">
      <c r="A5162" s="1" t="s">
        <v>1876</v>
      </c>
      <c r="B5162" s="1" t="str">
        <f ca="1">IFERROR(__xludf.DUMFUNCTION("GOOGLETRANSLATE(A5319,""id"",""en"")"),"om adjust the center of the regional behavior required to go on the application of 's application, try the state not melted the center")</f>
        <v>om adjust the center of the regional behavior required to go on the application of 's application, try the state not melted the center</v>
      </c>
    </row>
    <row r="5163" spans="1:2" x14ac:dyDescent="0.2">
      <c r="A5163" s="1" t="s">
        <v>633</v>
      </c>
      <c r="B5163" s="1" t="str">
        <f ca="1">IFERROR(__xludf.DUMFUNCTION("GOOGLETRANSLATE(A5320,""id"",""en"")"),"hopefully wise results of realization")</f>
        <v>hopefully wise results of realization</v>
      </c>
    </row>
    <row r="5164" spans="1:2" x14ac:dyDescent="0.2">
      <c r="A5164" s="1" t="s">
        <v>634</v>
      </c>
      <c r="B5164" s="1" t="str">
        <f ca="1">IFERROR(__xludf.DUMFUNCTION("GOOGLETRANSLATE(A5321,""id"",""en"")"),"Please delete your account")</f>
        <v>Please delete your account</v>
      </c>
    </row>
    <row r="5165" spans="1:2" x14ac:dyDescent="0.2">
      <c r="A5165" s="1" t="s">
        <v>5443</v>
      </c>
      <c r="B5165" s="1" t="str">
        <f ca="1">IFERROR(__xludf.DUMFUNCTION("GOOGLETRANSLATE(A5322,""id"",""en"")"),"ah busem just make a complicated download system  ")</f>
        <v xml:space="preserve">ah busem just make a complicated download system  </v>
      </c>
    </row>
    <row r="5166" spans="1:2" x14ac:dyDescent="0.2">
      <c r="A5166" s="1" t="s">
        <v>5444</v>
      </c>
      <c r="B5166" s="1" t="str">
        <f ca="1">IFERROR(__xludf.DUMFUNCTION("GOOGLETRANSLATE(A5323,""id"",""en"")"),"BBM Subsidies of     Application Rights")</f>
        <v>BBM Subsidies of     Application Rights</v>
      </c>
    </row>
    <row r="5167" spans="1:2" x14ac:dyDescent="0.2">
      <c r="A5167" s="1" t="s">
        <v>635</v>
      </c>
      <c r="B5167" s="1" t="str">
        <f ca="1">IFERROR(__xludf.DUMFUNCTION("GOOGLETRANSLATE(A5324,""id"",""en"")"),"people who talk")</f>
        <v>people who talk</v>
      </c>
    </row>
    <row r="5168" spans="1:2" x14ac:dyDescent="0.2">
      <c r="A5168" s="1" t="s">
        <v>5445</v>
      </c>
      <c r="B5168" s="1" t="str">
        <f ca="1">IFERROR(__xludf.DUMFUNCTION("GOOGLETRANSLATE(A5325,""id"",""en"")"),"please link  card   card so you can connect with the  gmn carax application")</f>
        <v>please link  card   card so you can connect with the  gmn carax application</v>
      </c>
    </row>
    <row r="5169" spans="1:2" x14ac:dyDescent="0.2">
      <c r="A5169" s="1" t="s">
        <v>1877</v>
      </c>
      <c r="B5169" s="1" t="str">
        <f ca="1">IFERROR(__xludf.DUMFUNCTION("GOOGLETRANSLATE(A5326,""id"",""en"")"),"Funny, I, I immediately didn't go to 's loss.")</f>
        <v>Funny, I, I immediately didn't go to 's loss.</v>
      </c>
    </row>
    <row r="5170" spans="1:2" x14ac:dyDescent="0.2">
      <c r="A5170" s="1" t="s">
        <v>636</v>
      </c>
      <c r="B5170" s="1" t="str">
        <f ca="1">IFERROR(__xludf.DUMFUNCTION("GOOGLETRANSLATE(A5327,""id"",""en"")"),"Cool UMKM Rise")</f>
        <v>Cool UMKM Rise</v>
      </c>
    </row>
    <row r="5171" spans="1:2" x14ac:dyDescent="0.2">
      <c r="A5171" s="1" t="s">
        <v>5445</v>
      </c>
      <c r="B5171" s="1" t="str">
        <f ca="1">IFERROR(__xludf.DUMFUNCTION("GOOGLETRANSLATE(A5328,""id"",""en"")"),"please link  card   card so you can connect with the  gmn carax application")</f>
        <v>please link  card   card so you can connect with the  gmn carax application</v>
      </c>
    </row>
    <row r="5172" spans="1:2" x14ac:dyDescent="0.2">
      <c r="A5172" s="1" t="s">
        <v>5446</v>
      </c>
      <c r="B5172" s="1" t="str">
        <f ca="1">IFERROR(__xludf.DUMFUNCTION("GOOGLETRANSLATE(A5329,""id"",""en"")"),"I don't understand using the  application to teach you, it's hard to do it, I understand playing fb SM ntn youtube yesterday, just google maps, just fill the gasoline, it's really complicated.")</f>
        <v>I don't understand using the  application to teach you, it's hard to do it, I understand playing fb SM ntn youtube yesterday, just google maps, just fill the gasoline, it's really complicated.</v>
      </c>
    </row>
    <row r="5173" spans="1:2" x14ac:dyDescent="0.2">
      <c r="A5173" s="1" t="s">
        <v>637</v>
      </c>
      <c r="B5173" s="1" t="str">
        <f ca="1">IFERROR(__xludf.DUMFUNCTION("GOOGLETRANSLATE(A5330,""id"",""en"")"),"When I enter it, I don't just connect the rudet link")</f>
        <v>When I enter it, I don't just connect the rudet link</v>
      </c>
    </row>
    <row r="5174" spans="1:2" x14ac:dyDescent="0.2">
      <c r="A5174" s="1" t="s">
        <v>5447</v>
      </c>
      <c r="B5174" s="1" t="str">
        <f ca="1">IFERROR(__xludf.DUMFUNCTION("GOOGLETRANSLATE(A5331,""id"",""en"")"),"I read the teaching news how the  system is short, the Step of the Mandatory Consumer List of the   platform waiting")</f>
        <v>I read the teaching news how the  system is short, the Step of the Mandatory Consumer List of the   platform waiting</v>
      </c>
    </row>
    <row r="5175" spans="1:2" x14ac:dyDescent="0.2">
      <c r="A5175" s="1" t="s">
        <v>1878</v>
      </c>
      <c r="B5175" s="1" t="str">
        <f ca="1">IFERROR(__xludf.DUMFUNCTION("GOOGLETRANSLATE(A5332,""id"",""en"")"),"What is  SIII")</f>
        <v>What is  SIII</v>
      </c>
    </row>
    <row r="5176" spans="1:2" x14ac:dyDescent="0.2">
      <c r="A5176" s="1" t="s">
        <v>1879</v>
      </c>
      <c r="B5176" s="1" t="str">
        <f ca="1">IFERROR(__xludf.DUMFUNCTION("GOOGLETRANSLATE(A5333,""id"",""en"")"),"Buy BBM Subsidies Fill in the application on July  Pertalite")</f>
        <v>Buy BBM Subsidies Fill in the application on July  Pertalite</v>
      </c>
    </row>
    <row r="5177" spans="1:2" x14ac:dyDescent="0.2">
      <c r="A5177" s="1" t="s">
        <v>1880</v>
      </c>
      <c r="B5177" s="1" t="str">
        <f ca="1">IFERROR(__xludf.DUMFUNCTION("GOOGLETRANSLATE(A5334,""id"",""en"")"),"Boro brakes  fortunately you literate glaring at him just loss just bacot")</f>
        <v>Boro brakes  fortunately you literate glaring at him just loss just bacot</v>
      </c>
    </row>
    <row r="5178" spans="1:2" x14ac:dyDescent="0.2">
      <c r="A5178" s="1" t="s">
        <v>5448</v>
      </c>
      <c r="B5178" s="1" t="str">
        <f ca="1">IFERROR(__xludf.DUMFUNCTION("GOOGLETRANSLATE(A5335,""id"",""en"")"),"MGTNews Deputy Speaker of the House Sufmi Dasco Ahmad  Socialization Extensive BUY PERTALITE MUST Use the  Application Hooks the people of the HP on Download the Application")</f>
        <v>MGTNews Deputy Speaker of the House Sufmi Dasco Ahmad  Socialization Extensive BUY PERTALITE MUST Use the  Application Hooks the people of the HP on Download the Application</v>
      </c>
    </row>
    <row r="5179" spans="1:2" x14ac:dyDescent="0.2">
      <c r="A5179" s="1" t="s">
        <v>1881</v>
      </c>
      <c r="B5179" s="1" t="str">
        <f ca="1">IFERROR(__xludf.DUMFUNCTION("GOOGLETRANSLATE(A5336,""id"",""en"")"),"List of BUMN Teachers BUMN  University International University of Semen Indonesia Telkom Uni")</f>
        <v>List of BUMN Teachers BUMN  University International University of Semen Indonesia Telkom Uni</v>
      </c>
    </row>
    <row r="5180" spans="1:2" x14ac:dyDescent="0.2">
      <c r="A5180" s="1" t="s">
        <v>1882</v>
      </c>
      <c r="B5180" s="1" t="str">
        <f ca="1">IFERROR(__xludf.DUMFUNCTION("GOOGLETRANSLATE(A5337,""id"",""en"")"),"APP Prerequisite TCP Ethernet connection that arrived in the VHF UHF App  Send Morse Data Pake Morse")</f>
        <v>APP Prerequisite TCP Ethernet connection that arrived in the VHF UHF App  Send Morse Data Pake Morse</v>
      </c>
    </row>
    <row r="5181" spans="1:2" x14ac:dyDescent="0.2">
      <c r="A5181" s="1" t="s">
        <v>1883</v>
      </c>
      <c r="B5181" s="1" t="str">
        <f ca="1">IFERROR(__xludf.DUMFUNCTION("GOOGLETRANSLATE(A5338,""id"",""en"")"),"Read further sis Tenaang 's website still dick, ups sorry")</f>
        <v>Read further sis Tenaang 's website still dick, ups sorry</v>
      </c>
    </row>
    <row r="5182" spans="1:2" x14ac:dyDescent="0.2">
      <c r="A5182" s="1" t="s">
        <v>1884</v>
      </c>
      <c r="B5182" s="1" t="str">
        <f ca="1">IFERROR(__xludf.DUMFUNCTION("GOOGLETRANSLATE(A5339,""id"",""en"")"),"wise  please criticize the advice of Mas  Mas Mas Ngam Ngam Type Ngidul Ngidul Ngingul Comments don't help  not if it's hard if you're so sjw Jan bear last enthusiasm")</f>
        <v>wise  please criticize the advice of Mas  Mas Mas Ngam Ngam Type Ngidul Ngidul Ngingul Comments don't help  not if it's hard if you're so sjw Jan bear last enthusiasm</v>
      </c>
    </row>
    <row r="5183" spans="1:2" x14ac:dyDescent="0.2">
      <c r="A5183" s="1" t="s">
        <v>1885</v>
      </c>
      <c r="B5183" s="1" t="str">
        <f ca="1">IFERROR(__xludf.DUMFUNCTION("GOOGLETRANSLATE(A5340,""id"",""en"")")," Jabat Minister of BUMN Working Difficult People")</f>
        <v xml:space="preserve"> Jabat Minister of BUMN Working Difficult People</v>
      </c>
    </row>
    <row r="5184" spans="1:2" x14ac:dyDescent="0.2">
      <c r="A5184" s="1" t="s">
        <v>1886</v>
      </c>
      <c r="B5184" s="1" t="str">
        <f ca="1">IFERROR(__xludf.DUMFUNCTION("GOOGLETRANSLATE(A5341,""id"",""en"")"),"clever,  just know the mid hi people are lazy eh just waiting for the gap")</f>
        <v>clever,  just know the mid hi people are lazy eh just waiting for the gap</v>
      </c>
    </row>
    <row r="5185" spans="1:2" x14ac:dyDescent="0.2">
      <c r="A5185" s="1" t="s">
        <v>1887</v>
      </c>
      <c r="B5185" s="1" t="str">
        <f ca="1">IFERROR(__xludf.DUMFUNCTION("GOOGLETRANSLATE(A5342,""id"",""en"")"),"mah  gamau lost indomobile")</f>
        <v>mah  gamau lost indomobile</v>
      </c>
    </row>
    <row r="5186" spans="1:2" x14ac:dyDescent="0.2">
      <c r="A5186" s="1" t="s">
        <v>638</v>
      </c>
      <c r="B5186" s="1" t="str">
        <f ca="1">IFERROR(__xludf.DUMFUNCTION("GOOGLETRANSLATE(A5343,""id"",""en"")"),"The people have difficulty finding money to buy gasoline, it's hard to buy pertamini that is really hard to help the business")</f>
        <v>The people have difficulty finding money to buy gasoline, it's hard to buy pertamini that is really hard to help the business</v>
      </c>
    </row>
    <row r="5187" spans="1:2" x14ac:dyDescent="0.2">
      <c r="A5187" s="1" t="s">
        <v>1381</v>
      </c>
      <c r="B5187" s="1" t="str">
        <f ca="1">IFERROR(__xludf.DUMFUNCTION("GOOGLETRANSLATE(A5344,""id"",""en"")")," Sasar Subsidy Level Testing Pertalite Solar Trial to List of 's Good Job Good Job")</f>
        <v xml:space="preserve"> Sasar Subsidy Level Testing Pertalite Solar Trial to List of 's Good Job Good Job</v>
      </c>
    </row>
    <row r="5188" spans="1:2" x14ac:dyDescent="0.2">
      <c r="A5188" s="1" t="s">
        <v>1888</v>
      </c>
      <c r="B5188" s="1" t="str">
        <f ca="1">IFERROR(__xludf.DUMFUNCTION("GOOGLETRANSLATE(A5345,""id"",""en"")"),"I just fill it in shell so that  bankrupt")</f>
        <v>I just fill it in shell so that  bankrupt</v>
      </c>
    </row>
    <row r="5189" spans="1:2" x14ac:dyDescent="0.2">
      <c r="A5189" s="1" t="s">
        <v>5449</v>
      </c>
      <c r="B5189" s="1" t="str">
        <f ca="1">IFERROR(__xludf.DUMFUNCTION("GOOGLETRANSLATE(A5346,""id"",""en"")"),"say open the gas station application, read   account that carries a gasoline qr code that is listing the qr wheel qr code, just buying a gasoline, just show you to pay for cash")</f>
        <v>say open the gas station application, read   account that carries a gasoline qr code that is listing the qr wheel qr code, just buying a gasoline, just show you to pay for cash</v>
      </c>
    </row>
    <row r="5190" spans="1:2" x14ac:dyDescent="0.2">
      <c r="A5190" s="1" t="s">
        <v>1889</v>
      </c>
      <c r="B5190" s="1" t="str">
        <f ca="1">IFERROR(__xludf.DUMFUNCTION("GOOGLETRANSLATE(A5347,""id"",""en"")")," Sasar Subsidy Level Test Pertalite Solar Trial for a Good Efforts List")</f>
        <v xml:space="preserve"> Sasar Subsidy Level Test Pertalite Solar Trial for a Good Efforts List</v>
      </c>
    </row>
    <row r="5191" spans="1:2" x14ac:dyDescent="0.2">
      <c r="A5191" s="1" t="s">
        <v>1890</v>
      </c>
      <c r="B5191" s="1" t="str">
        <f ca="1">IFERROR(__xludf.DUMFUNCTION("GOOGLETRANSLATE(A5348,""id"",""en"")")," Energijatimbalinus Energy for the Patraniaga Patraniagajatalimbalinus energizingyourfuture")</f>
        <v xml:space="preserve"> Energijatimbalinus Energy for the Patraniaga Patraniagajatalimbalinus energizingyourfuture</v>
      </c>
    </row>
    <row r="5192" spans="1:2" x14ac:dyDescent="0.2">
      <c r="A5192" s="1" t="s">
        <v>5450</v>
      </c>
      <c r="B5192" s="1" t="str">
        <f ca="1">IFERROR(__xludf.DUMFUNCTION("GOOGLETRANSLATE(A5349,""id"",""en"")"),"Remember the War Cashback Cares Ojol Wkt Covid Pay via   Sometimes the Error sometimes the engine is damaged in line then CB KOID changes silver cashback buying candy just don't go to the event jor an souvenir")</f>
        <v>Remember the War Cashback Cares Ojol Wkt Covid Pay via   Sometimes the Error sometimes the engine is damaged in line then CB KOID changes silver cashback buying candy just don't go to the event jor an souvenir</v>
      </c>
    </row>
    <row r="5193" spans="1:2" x14ac:dyDescent="0.2">
      <c r="A5193" s="1" t="s">
        <v>1891</v>
      </c>
      <c r="B5193" s="1" t="str">
        <f ca="1">IFERROR(__xludf.DUMFUNCTION("GOOGLETRANSLATE(A5350,""id"",""en"")"),"Those who make  gas stations wkwkw comedy")</f>
        <v>Those who make  gas stations wkwkw comedy</v>
      </c>
    </row>
    <row r="5194" spans="1:2" x14ac:dyDescent="0.2">
      <c r="A5194" s="1" t="s">
        <v>1892</v>
      </c>
      <c r="B5194" s="1" t="str">
        <f ca="1">IFERROR(__xludf.DUMFUNCTION("GOOGLETRANSLATE(A5351,""id"",""en"")"),"This is cool, 's Sasar Subsidy Level Test Pertalite Solar Trial for the Register")</f>
        <v>This is cool, 's Sasar Subsidy Level Test Pertalite Solar Trial for the Register</v>
      </c>
    </row>
    <row r="5195" spans="1:2" x14ac:dyDescent="0.2">
      <c r="A5195" s="1" t="s">
        <v>1893</v>
      </c>
      <c r="B5195" s="1" t="str">
        <f ca="1">IFERROR(__xludf.DUMFUNCTION("GOOGLETRANSLATE(A5352,""id"",""en"")"),"Selling Pertalite Car Tank Modification of the Holy SPBU Sanctions ")</f>
        <v xml:space="preserve">Selling Pertalite Car Tank Modification of the Holy SPBU Sanctions </v>
      </c>
    </row>
    <row r="5196" spans="1:2" x14ac:dyDescent="0.2">
      <c r="A5196" s="1" t="s">
        <v>5451</v>
      </c>
      <c r="B5196" s="1" t="str">
        <f ca="1">IFERROR(__xludf.DUMFUNCTION("GOOGLETRANSLATE(A5353,""id"",""en"")")," application")</f>
        <v xml:space="preserve"> application</v>
      </c>
    </row>
    <row r="5197" spans="1:2" x14ac:dyDescent="0.2">
      <c r="A5197" s="1" t="s">
        <v>1894</v>
      </c>
      <c r="B5197" s="1" t="str">
        <f ca="1">IFERROR(__xludf.DUMFUNCTION("GOOGLETRANSLATE(A5354,""id"",""en"")"),"Understand the core context of the tweet for the real  which is contradictory with the campaign not the cellphone contents of the fuel")</f>
        <v>Understand the core context of the tweet for the real  which is contradictory with the campaign not the cellphone contents of the fuel</v>
      </c>
    </row>
    <row r="5198" spans="1:2" x14ac:dyDescent="0.2">
      <c r="A5198" s="1" t="s">
        <v>639</v>
      </c>
      <c r="B5198" s="1" t="str">
        <f ca="1">IFERROR(__xludf.DUMFUNCTION("GOOGLETRANSLATE(A5355,""id"",""en"")"),"Ustadz Ustadz is Islam Nusantara aka Nu yes Typical really love envelope")</f>
        <v>Ustadz Ustadz is Islam Nusantara aka Nu yes Typical really love envelope</v>
      </c>
    </row>
    <row r="5199" spans="1:2" x14ac:dyDescent="0.2">
      <c r="A5199" s="1" t="s">
        <v>5452</v>
      </c>
      <c r="B5199" s="1" t="str">
        <f ca="1">IFERROR(__xludf.DUMFUNCTION("GOOGLETRANSLATE(A5356,""id"",""en"")")," Test the Salur Pertalite Solar Trial for the Region  List")</f>
        <v xml:space="preserve"> Test the Salur Pertalite Solar Trial for the Region  List</v>
      </c>
    </row>
    <row r="5200" spans="1:2" x14ac:dyDescent="0.2">
      <c r="A5200" s="1" t="s">
        <v>5453</v>
      </c>
      <c r="B5200" s="1" t="str">
        <f ca="1">IFERROR(__xludf.DUMFUNCTION("GOOGLETRANSLATE(A5357,""id"",""en"")")," Patra Niaga Sub Holding Commercial AMP Trading PT  Persero July trial Salur Pertalite Solar for the right to list the  system")</f>
        <v xml:space="preserve"> Patra Niaga Sub Holding Commercial AMP Trading PT  Persero July trial Salur Pertalite Solar for the right to list the  system</v>
      </c>
    </row>
    <row r="5201" spans="1:2" x14ac:dyDescent="0.2">
      <c r="A5201" s="1" t="s">
        <v>1895</v>
      </c>
      <c r="B5201" s="1" t="str">
        <f ca="1">IFERROR(__xludf.DUMFUNCTION("GOOGLETRANSLATE(A5358,""id"",""en"")")," please make the people who buy BBM Pertalite, yes, you have to register if the gasoline is not yet the quota of the cellphone, the Android")</f>
        <v xml:space="preserve"> please make the people who buy BBM Pertalite, yes, you have to register if the gasoline is not yet the quota of the cellphone, the Android</v>
      </c>
    </row>
    <row r="5202" spans="1:2" x14ac:dyDescent="0.2">
      <c r="A5202" s="1" t="s">
        <v>1896</v>
      </c>
      <c r="B5202" s="1" t="str">
        <f ca="1">IFERROR(__xludf.DUMFUNCTION("GOOGLETRANSLATE(A5359,""id"",""en"")"),"Mama Lek Pas Nang  Dewe Gaisok Gawe Application Iki Kongkon Nanges Ae Ben is pursued by Mbake")</f>
        <v>Mama Lek Pas Nang  Dewe Gaisok Gawe Application Iki Kongkon Nanges Ae Ben is pursued by Mbake</v>
      </c>
    </row>
    <row r="5203" spans="1:2" x14ac:dyDescent="0.2">
      <c r="A5203" s="1" t="s">
        <v>5454</v>
      </c>
      <c r="B5203" s="1" t="str">
        <f ca="1">IFERROR(__xludf.DUMFUNCTION("GOOGLETRANSLATE(A5360,""id"",""en"")"),"  wise minimal empathy")</f>
        <v xml:space="preserve">  wise minimal empathy</v>
      </c>
    </row>
    <row r="5204" spans="1:2" x14ac:dyDescent="0.2">
      <c r="A5204" s="1" t="s">
        <v>1897</v>
      </c>
      <c r="B5204" s="1" t="str">
        <f ca="1">IFERROR(__xludf.DUMFUNCTION("GOOGLETRANSLATE(A5361,""id"",""en"")")," Sasar Subsidy Level Testing Pertalite Solar Trial for the List of Results of Test Results")</f>
        <v xml:space="preserve"> Sasar Subsidy Level Testing Pertalite Solar Trial for the List of Results of Test Results</v>
      </c>
    </row>
    <row r="5205" spans="1:2" x14ac:dyDescent="0.2">
      <c r="A5205" s="1" t="s">
        <v>640</v>
      </c>
      <c r="B5205" s="1" t="str">
        <f ca="1">IFERROR(__xludf.DUMFUNCTION("GOOGLETRANSLATE(A5362,""id"",""en"")"),"Na Error application keneh when registration teu cnah no dafrar when trying to forget the otp code pin teu wae sms na jdi kumha")</f>
        <v>Na Error application keneh when registration teu cnah no dafrar when trying to forget the otp code pin teu wae sms na jdi kumha</v>
      </c>
    </row>
    <row r="5206" spans="1:2" x14ac:dyDescent="0.2">
      <c r="A5206" s="1" t="s">
        <v>1898</v>
      </c>
      <c r="B5206" s="1" t="str">
        <f ca="1">IFERROR(__xludf.DUMFUNCTION("GOOGLETRANSLATE(A5363,""id"",""en"")"),"add to the load of the HP AE  iki")</f>
        <v>add to the load of the HP AE  iki</v>
      </c>
    </row>
    <row r="5207" spans="1:2" x14ac:dyDescent="0.2">
      <c r="A5207" s="1" t="s">
        <v>1386</v>
      </c>
      <c r="B5207" s="1" t="str">
        <f ca="1">IFERROR(__xludf.DUMFUNCTION("GOOGLETRANSLATE(A5364,""id"",""en"")")," Sasar Subsidy Level Testing Pertalite Solar Trials to Register Yuk Support Digitalization")</f>
        <v xml:space="preserve"> Sasar Subsidy Level Testing Pertalite Solar Trials to Register Yuk Support Digitalization</v>
      </c>
    </row>
    <row r="5208" spans="1:2" x14ac:dyDescent="0.2">
      <c r="A5208" s="1" t="s">
        <v>1387</v>
      </c>
      <c r="B5208" s="1" t="str">
        <f ca="1">IFERROR(__xludf.DUMFUNCTION("GOOGLETRANSLATE(A5365,""id"",""en"")"),"steady levels of  saradis subsidies trials service services for solar to list it is very compulsory to support")</f>
        <v>steady levels of  saradis subsidies trials service services for solar to list it is very compulsory to support</v>
      </c>
    </row>
    <row r="5209" spans="1:2" x14ac:dyDescent="0.2">
      <c r="A5209" s="1" t="s">
        <v>1899</v>
      </c>
      <c r="B5209" s="1" t="str">
        <f ca="1">IFERROR(__xludf.DUMFUNCTION("GOOGLETRANSLATE(A5366,""id"",""en"")"),"for  Lugi nan fees")</f>
        <v>for  Lugi nan fees</v>
      </c>
    </row>
    <row r="5210" spans="1:2" x14ac:dyDescent="0.2">
      <c r="A5210" s="1" t="s">
        <v>1900</v>
      </c>
      <c r="B5210" s="1" t="str">
        <f ca="1">IFERROR(__xludf.DUMFUNCTION("GOOGLETRANSLATE(A5367,""id"",""en"")"),"really cool level of  sasar subsidy trials service services for a list of Sasar Moga")</f>
        <v>really cool level of  sasar subsidy trials service services for a list of Sasar Moga</v>
      </c>
    </row>
    <row r="5211" spans="1:2" x14ac:dyDescent="0.2">
      <c r="A5211" s="1" t="s">
        <v>5455</v>
      </c>
      <c r="B5211" s="1" t="str">
        <f ca="1">IFERROR(__xludf.DUMFUNCTION("GOOGLETRANSLATE(A5368,""id"",""en"")"),"Deputy Speaker of the DPR Sufmi Dasco Ahmad  Socialization of the Burning of Pertalite is required to use the  Application, the people's thinking")</f>
        <v>Deputy Speaker of the DPR Sufmi Dasco Ahmad  Socialization of the Burning of Pertalite is required to use the  Application, the people's thinking</v>
      </c>
    </row>
    <row r="5212" spans="1:2" x14ac:dyDescent="0.2">
      <c r="A5212" s="1" t="s">
        <v>1901</v>
      </c>
      <c r="B5212" s="1" t="str">
        <f ca="1">IFERROR(__xludf.DUMFUNCTION("GOOGLETRANSLATE(A5369,""id"",""en"")")," Sasar Subsidy Level Testing Pertalite Solar Trials to List of Good Steps")</f>
        <v xml:space="preserve"> Sasar Subsidy Level Testing Pertalite Solar Trials to List of Good Steps</v>
      </c>
    </row>
    <row r="5213" spans="1:2" x14ac:dyDescent="0.2">
      <c r="A5213" s="1" t="s">
        <v>641</v>
      </c>
      <c r="B5213" s="1" t="str">
        <f ca="1">IFERROR(__xludf.DUMFUNCTION("GOOGLETRANSLATE(A5370,""id"",""en"")"),"Installan Ko Ka Ka Samsung Application Ciek Ciek Wakak Ba Android Do")</f>
        <v>Installan Ko Ka Ka Samsung Application Ciek Ciek Wakak Ba Android Do</v>
      </c>
    </row>
    <row r="5214" spans="1:2" x14ac:dyDescent="0.2">
      <c r="A5214" s="1" t="s">
        <v>5456</v>
      </c>
      <c r="B5214" s="1" t="str">
        <f ca="1">IFERROR(__xludf.DUMFUNCTION("GOOGLETRANSLATE(A5371,""id"",""en"")"),"On July Mandatory   SPBU")</f>
        <v>On July Mandatory   SPBU</v>
      </c>
    </row>
    <row r="5215" spans="1:2" x14ac:dyDescent="0.2">
      <c r="A5215" s="1" t="s">
        <v>1902</v>
      </c>
      <c r="B5215" s="1" t="str">
        <f ca="1">IFERROR(__xludf.DUMFUNCTION("GOOGLETRANSLATE(A5372,""id"",""en"")"),"'s subsidiary subsidiary of the Java Sea Oil and Gas Parts")</f>
        <v>'s subsidiary subsidiary of the Java Sea Oil and Gas Parts</v>
      </c>
    </row>
    <row r="5216" spans="1:2" x14ac:dyDescent="0.2">
      <c r="A5216" s="1" t="s">
        <v>1903</v>
      </c>
      <c r="B5216" s="1" t="str">
        <f ca="1">IFERROR(__xludf.DUMFUNCTION("GOOGLETRANSLATE(A5373,""id"",""en"")"),"Indonesia  Makes App Requirement for Buying Subsidized Fuel Oil")</f>
        <v>Indonesia  Makes App Requirement for Buying Subsidized Fuel Oil</v>
      </c>
    </row>
    <row r="5217" spans="1:2" x14ac:dyDescent="0.2">
      <c r="A5217" s="1" t="s">
        <v>1904</v>
      </c>
      <c r="B5217" s="1" t="str">
        <f ca="1">IFERROR(__xludf.DUMFUNCTION("GOOGLETRANSLATE(A5374,""id"",""en"")"),"Forbidding Playing Hp SPBU MO Bole Revision Revised  Sto Application")</f>
        <v>Forbidding Playing Hp SPBU MO Bole Revision Revised  Sto Application</v>
      </c>
    </row>
    <row r="5218" spans="1:2" x14ac:dyDescent="0.2">
      <c r="A5218" s="1" t="s">
        <v>5457</v>
      </c>
      <c r="B5218" s="1" t="str">
        <f ca="1">IFERROR(__xludf.DUMFUNCTION("GOOGLETRANSLATE(A5375,""id"",""en"")"),"wisely good from the order of mental buying solar pertalite entering the gas station sample scan of barcode from  apk before entering the area of ​​gas stations broke up")</f>
        <v>wisely good from the order of mental buying solar pertalite entering the gas station sample scan of barcode from  apk before entering the area of ​​gas stations broke up</v>
      </c>
    </row>
    <row r="5219" spans="1:2" x14ac:dyDescent="0.2">
      <c r="A5219" s="1" t="s">
        <v>1905</v>
      </c>
      <c r="B5219" s="1" t="str">
        <f ca="1">IFERROR(__xludf.DUMFUNCTION("GOOGLETRANSLATE(A5376,""id"",""en"")"),"if it makes it difficult to make it easy to the principle of  Commissioner or not there")</f>
        <v>if it makes it difficult to make it easy to the principle of  Commissioner or not there</v>
      </c>
    </row>
    <row r="5220" spans="1:2" x14ac:dyDescent="0.2">
      <c r="A5220" s="1" t="s">
        <v>5458</v>
      </c>
      <c r="B5220" s="1" t="str">
        <f ca="1">IFERROR(__xludf.DUMFUNCTION("GOOGLETRANSLATE(A5377,""id"",""en"")"),"You don't use the Pertamax, I don't fill  , I live, it's really a subsidy")</f>
        <v>You don't use the Pertamax, I don't fill  , I live, it's really a subsidy</v>
      </c>
    </row>
    <row r="5221" spans="1:2" x14ac:dyDescent="0.2">
      <c r="A5221" s="1" t="s">
        <v>1906</v>
      </c>
      <c r="B5221" s="1" t="str">
        <f ca="1">IFERROR(__xludf.DUMFUNCTION("GOOGLETRANSLATE(A5378,""id"",""en"")"),"the public receiving subsidies people already know not to make 's complicated download the application in fact download smart phone just buy pertalite")</f>
        <v>the public receiving subsidies people already know not to make 's complicated download the application in fact download smart phone just buy pertalite</v>
      </c>
    </row>
    <row r="5222" spans="1:2" x14ac:dyDescent="0.2">
      <c r="A5222" s="1" t="s">
        <v>1907</v>
      </c>
      <c r="B5222" s="1" t="str">
        <f ca="1">IFERROR(__xludf.DUMFUNCTION("GOOGLETRANSLATE(A5379,""id"",""en"")"),"Deputy Speaker of the Indonesian Parliament Sufmi Dasco Ahmad PT  Extensive Socialization in the Renca Hook")</f>
        <v>Deputy Speaker of the Indonesian Parliament Sufmi Dasco Ahmad PT  Extensive Socialization in the Renca Hook</v>
      </c>
    </row>
    <row r="5223" spans="1:2" x14ac:dyDescent="0.2">
      <c r="A5223" s="1" t="s">
        <v>5459</v>
      </c>
      <c r="B5223" s="1" t="str">
        <f ca="1">IFERROR(__xludf.DUMFUNCTION("GOOGLETRANSLATE(A5380,""id"",""en"")"),"like paying using an EDC machine if Jember is also   isn't flat")</f>
        <v>like paying using an EDC machine if Jember is also   isn't flat</v>
      </c>
    </row>
    <row r="5224" spans="1:2" x14ac:dyDescent="0.2">
      <c r="A5224" s="1" t="s">
        <v>1908</v>
      </c>
      <c r="B5224" s="1" t="str">
        <f ca="1">IFERROR(__xludf.DUMFUNCTION("GOOGLETRANSLATE(A5381,""id"",""en"")"),"Gaiss know that you can clean your ears using cottonbud, we use gais already oneset pcs murce cuss co gaiss shopee Azzam  Ve Reply Lastanime Holywings Lontong Chico Zeenunew")</f>
        <v>Gaiss know that you can clean your ears using cottonbud, we use gais already oneset pcs murce cuss co gaiss shopee Azzam  Ve Reply Lastanime Holywings Lontong Chico Zeenunew</v>
      </c>
    </row>
    <row r="5225" spans="1:2" x14ac:dyDescent="0.2">
      <c r="A5225" s="1" t="s">
        <v>5457</v>
      </c>
      <c r="B5225" s="1" t="str">
        <f ca="1">IFERROR(__xludf.DUMFUNCTION("GOOGLETRANSLATE(A5382,""id"",""en"")"),"wisely good from the order of mental buying solar pertalite entering the gas station sample scan of barcode from  apk before entering the area of ​​gas stations broke up")</f>
        <v>wisely good from the order of mental buying solar pertalite entering the gas station sample scan of barcode from  apk before entering the area of ​​gas stations broke up</v>
      </c>
    </row>
    <row r="5226" spans="1:2" x14ac:dyDescent="0.2">
      <c r="A5226" s="1" t="s">
        <v>5460</v>
      </c>
      <c r="B5226" s="1" t="str">
        <f ca="1">IFERROR(__xludf.DUMFUNCTION("GOOGLETRANSLATE(A5383,""id"",""en"")"),"  gas station")</f>
        <v xml:space="preserve">  gas station</v>
      </c>
    </row>
    <row r="5227" spans="1:2" x14ac:dyDescent="0.2">
      <c r="A5227" s="1" t="s">
        <v>1902</v>
      </c>
      <c r="B5227" s="1" t="str">
        <f ca="1">IFERROR(__xludf.DUMFUNCTION("GOOGLETRANSLATE(A5384,""id"",""en"")"),"'s subsidiary subsidiary of the Java Sea Oil and Gas Parts")</f>
        <v>'s subsidiary subsidiary of the Java Sea Oil and Gas Parts</v>
      </c>
    </row>
    <row r="5228" spans="1:2" x14ac:dyDescent="0.2">
      <c r="A5228" s="1" t="s">
        <v>1909</v>
      </c>
      <c r="B5228" s="1" t="str">
        <f ca="1">IFERROR(__xludf.DUMFUNCTION("GOOGLETRANSLATE(A5385,""id"",""en"")"),"Agree on  who uses the App User")</f>
        <v>Agree on  who uses the App User</v>
      </c>
    </row>
    <row r="5229" spans="1:2" x14ac:dyDescent="0.2">
      <c r="A5229" s="1" t="s">
        <v>5461</v>
      </c>
      <c r="B5229" s="1" t="str">
        <f ca="1">IFERROR(__xludf.DUMFUNCTION("GOOGLETRANSLATE(A5386,""id"",""en"")"),"Hi Ary Case Member BTS Here Jin Jk Jhope RM Jimin Suga You know Gemeey Gemeet Book their HP Case Collection Cuss Coiss Shopee Azzam  Ve Reply Lastanime Holywings Lontong Chico Zeenunew")</f>
        <v>Hi Ary Case Member BTS Here Jin Jk Jhope RM Jimin Suga You know Gemeey Gemeet Book their HP Case Collection Cuss Coiss Shopee Azzam  Ve Reply Lastanime Holywings Lontong Chico Zeenunew</v>
      </c>
    </row>
    <row r="5230" spans="1:2" x14ac:dyDescent="0.2">
      <c r="A5230" s="1" t="s">
        <v>5462</v>
      </c>
      <c r="B5230" s="1" t="str">
        <f ca="1">IFERROR(__xludf.DUMFUNCTION("GOOGLETRANSLATE(A5387,""id"",""en"")"),"List of  Login Mandatory Terms of Pertalite   Pertalite Solar Subsidy")</f>
        <v>List of  Login Mandatory Terms of Pertalite   Pertalite Solar Subsidy</v>
      </c>
    </row>
    <row r="5231" spans="1:2" x14ac:dyDescent="0.2">
      <c r="A5231" s="1" t="s">
        <v>5463</v>
      </c>
      <c r="B5231" s="1" t="str">
        <f ca="1">IFERROR(__xludf.DUMFUNCTION("GOOGLETRANSLATE(A5388,""id"",""en"")"),"  Pertamax Bright Gas, let's go with the    Giveaway Friend")</f>
        <v xml:space="preserve">  Pertamax Bright Gas, let's go with the    Giveaway Friend</v>
      </c>
    </row>
    <row r="5232" spans="1:2" x14ac:dyDescent="0.2">
      <c r="A5232" s="1" t="s">
        <v>1910</v>
      </c>
      <c r="B5232" s="1" t="str">
        <f ca="1">IFERROR(__xludf.DUMFUNCTION("GOOGLETRANSLATE(A5390,""id"",""en"")"),"Gaiss Golf Hats Gymnastics, Funny Funny Color Cute Cuss Coiss Shopee Azzam  Ve Reply Lastanime Holywings Lontong Chico Zeenunew")</f>
        <v>Gaiss Golf Hats Gymnastics, Funny Funny Color Cute Cuss Coiss Shopee Azzam  Ve Reply Lastanime Holywings Lontong Chico Zeenunew</v>
      </c>
    </row>
    <row r="5233" spans="1:2" x14ac:dyDescent="0.2">
      <c r="A5233" s="1" t="s">
        <v>5464</v>
      </c>
      <c r="B5233" s="1" t="str">
        <f ca="1">IFERROR(__xludf.DUMFUNCTION("GOOGLETRANSLATE(A5391,""id"",""en"")"),"if not quota, what do I do, open the   application")</f>
        <v>if not quota, what do I do, open the   application</v>
      </c>
    </row>
    <row r="5234" spans="1:2" x14ac:dyDescent="0.2">
      <c r="A5234" s="1" t="s">
        <v>1911</v>
      </c>
      <c r="B5234" s="1" t="str">
        <f ca="1">IFERROR(__xludf.DUMFUNCTION("GOOGLETRANSLATE(A5392,""id"",""en"")"),"Bliin Ak  Duls")</f>
        <v>Bliin Ak  Duls</v>
      </c>
    </row>
    <row r="5235" spans="1:2" x14ac:dyDescent="0.2">
      <c r="A5235" s="1" t="s">
        <v>1912</v>
      </c>
      <c r="B5235" s="1" t="str">
        <f ca="1">IFERROR(__xludf.DUMFUNCTION("GOOGLETRANSLATE(A5393,""id"",""en"")"),"GaISS see the cute kids boots, aaa, let's buy the niece of the bundd cuss cuss, the gaiss shopee Azzam,  Ve Reply Lastanime Holywings, Lontong Chico Zeenunew")</f>
        <v>GaISS see the cute kids boots, aaa, let's buy the niece of the bundd cuss cuss, the gaiss shopee Azzam,  Ve Reply Lastanime Holywings, Lontong Chico Zeenunew</v>
      </c>
    </row>
    <row r="5236" spans="1:2" x14ac:dyDescent="0.2">
      <c r="A5236" s="1" t="s">
        <v>1913</v>
      </c>
      <c r="B5236" s="1" t="str">
        <f ca="1">IFERROR(__xludf.DUMFUNCTION("GOOGLETRANSLATE(A5394,""id"",""en"")"),"MJB  University Student Kah Open DM did not ask questions")</f>
        <v>MJB  University Student Kah Open DM did not ask questions</v>
      </c>
    </row>
    <row r="5237" spans="1:2" x14ac:dyDescent="0.2">
      <c r="A5237" s="1" t="s">
        <v>1914</v>
      </c>
      <c r="B5237" s="1" t="str">
        <f ca="1">IFERROR(__xludf.DUMFUNCTION("GOOGLETRANSLATE(A5395,""id"",""en"")")," Sanctions Cheating SPBU")</f>
        <v xml:space="preserve"> Sanctions Cheating SPBU</v>
      </c>
    </row>
    <row r="5238" spans="1:2" x14ac:dyDescent="0.2">
      <c r="A5238" s="1" t="s">
        <v>1915</v>
      </c>
      <c r="B5238" s="1" t="str">
        <f ca="1">IFERROR(__xludf.DUMFUNCTION("GOOGLETRANSLATE(A5396,""id"",""en"")")," doesn't bring a refinery")</f>
        <v xml:space="preserve"> doesn't bring a refinery</v>
      </c>
    </row>
    <row r="5239" spans="1:2" x14ac:dyDescent="0.2">
      <c r="A5239" s="1" t="s">
        <v>1916</v>
      </c>
      <c r="B5239" s="1" t="str">
        <f ca="1">IFERROR(__xludf.DUMFUNCTION("GOOGLETRANSLATE(A5397,""id"",""en"")"),"The daughter of a girl's nephew on oneset is really gemeeey, oh  gaiss shopee Azzam  Ve Lastanime Holywings Lontong Chico Zeenunew ")</f>
        <v xml:space="preserve">The daughter of a girl's nephew on oneset is really gemeeey, oh  gaiss shopee Azzam  Ve Lastanime Holywings Lontong Chico Zeenunew </v>
      </c>
    </row>
    <row r="5240" spans="1:2" x14ac:dyDescent="0.2">
      <c r="A5240" s="1" t="s">
        <v>5465</v>
      </c>
      <c r="B5240" s="1" t="str">
        <f ca="1">IFERROR(__xludf.DUMFUNCTION("GOOGLETRANSLATE(A5398,""id"",""en"")"),"Yes, it's really not complicated to promote the sales apps directly gas stations that don't pay using the link,  ")</f>
        <v xml:space="preserve">Yes, it's really not complicated to promote the sales apps directly gas stations that don't pay using the link,  </v>
      </c>
    </row>
    <row r="5241" spans="1:2" x14ac:dyDescent="0.2">
      <c r="A5241" s="1" t="s">
        <v>1917</v>
      </c>
      <c r="B5241" s="1" t="str">
        <f ca="1">IFERROR(__xludf.DUMFUNCTION("GOOGLETRANSLATE(A5399,""id"",""en"")"),"GS Breaks Hp Buy BBM on  Hp Gimn Here Safety First")</f>
        <v>GS Breaks Hp Buy BBM on  Hp Gimn Here Safety First</v>
      </c>
    </row>
    <row r="5242" spans="1:2" x14ac:dyDescent="0.2">
      <c r="A5242" s="1" t="s">
        <v>1918</v>
      </c>
      <c r="B5242" s="1" t="str">
        <f ca="1">IFERROR(__xludf.DUMFUNCTION("GOOGLETRANSLATE(A5400,""id"",""en"")"),"Here 's jabat knows Jakarta")</f>
        <v>Here 's jabat knows Jakarta</v>
      </c>
    </row>
    <row r="5243" spans="1:2" x14ac:dyDescent="0.2">
      <c r="A5243" s="1" t="s">
        <v>5466</v>
      </c>
      <c r="B5243" s="1" t="str">
        <f ca="1">IFERROR(__xludf.DUMFUNCTION("GOOGLETRANSLATE(A5401,""id"",""en"")"),"ciee installed   apps")</f>
        <v>ciee installed   apps</v>
      </c>
    </row>
    <row r="5244" spans="1:2" x14ac:dyDescent="0.2">
      <c r="A5244" s="1" t="s">
        <v>642</v>
      </c>
      <c r="B5244" s="1" t="str">
        <f ca="1">IFERROR(__xludf.DUMFUNCTION("GOOGLETRANSLATE(A5402,""id"",""en"")"),"not just psychological interview uncle")</f>
        <v>not just psychological interview uncle</v>
      </c>
    </row>
    <row r="5245" spans="1:2" x14ac:dyDescent="0.2">
      <c r="A5245" s="1" t="s">
        <v>1919</v>
      </c>
      <c r="B5245" s="1" t="str">
        <f ca="1">IFERROR(__xludf.DUMFUNCTION("GOOGLETRANSLATE(A5403,""id"",""en"")")," Test brother")</f>
        <v xml:space="preserve"> Test brother</v>
      </c>
    </row>
    <row r="5246" spans="1:2" x14ac:dyDescent="0.2">
      <c r="A5246" s="1" t="s">
        <v>5467</v>
      </c>
      <c r="B5246" s="1" t="str">
        <f ca="1">IFERROR(__xludf.DUMFUNCTION("GOOGLETRANSLATE(A5404,""id"",""en"")"),"List of Mandatory Regions to Use  Buy Pertalite Solar Beritaviral   Pertalite Complete GT")</f>
        <v>List of Mandatory Regions to Use  Buy Pertalite Solar Beritaviral   Pertalite Complete GT</v>
      </c>
    </row>
    <row r="5247" spans="1:2" x14ac:dyDescent="0.2">
      <c r="A5247" s="1" t="s">
        <v>5468</v>
      </c>
      <c r="B5247" s="1" t="str">
        <f ca="1">IFERROR(__xludf.DUMFUNCTION("GOOGLETRANSLATE(A5405,""id"",""en"")"),"buy fuel using  entering ngeclose rudet")</f>
        <v>buy fuel using  entering ngeclose rudet</v>
      </c>
    </row>
    <row r="5248" spans="1:2" x14ac:dyDescent="0.2">
      <c r="A5248" s="1" t="s">
        <v>1920</v>
      </c>
      <c r="B5248" s="1" t="str">
        <f ca="1">IFERROR(__xludf.DUMFUNCTION("GOOGLETRANSLATE(A5406,""id"",""en"")"),"Hi Hi Bunda Bundaa Jacket, Baby Baby Good Color Good Tebel Bundd Cuss Coiss Shopee Azzam  Ve Reply Lastanime Holywings Lontong Chico Zeenunew")</f>
        <v>Hi Hi Bunda Bundaa Jacket, Baby Baby Good Color Good Tebel Bundd Cuss Coiss Shopee Azzam  Ve Reply Lastanime Holywings Lontong Chico Zeenunew</v>
      </c>
    </row>
    <row r="5249" spans="1:2" x14ac:dyDescent="0.2">
      <c r="A5249" s="1" t="s">
        <v>1921</v>
      </c>
      <c r="B5249" s="1" t="str">
        <f ca="1">IFERROR(__xludf.DUMFUNCTION("GOOGLETRANSLATE(A5407,""id"",""en"")"),"Sneakers niece baby baby cuss co gaiss shopee Azzam  Ve Reply Lastanime Holywings Lontong Chico Zeenunew really gemeyy")</f>
        <v>Sneakers niece baby baby cuss co gaiss shopee Azzam  Ve Reply Lastanime Holywings Lontong Chico Zeenunew really gemeyy</v>
      </c>
    </row>
    <row r="5250" spans="1:2" x14ac:dyDescent="0.2">
      <c r="A5250" s="1" t="s">
        <v>643</v>
      </c>
      <c r="B5250" s="1" t="str">
        <f ca="1">IFERROR(__xludf.DUMFUNCTION("GOOGLETRANSLATE(A5408,""id"",""en"")"),"not weigh the parents of people not mobile phones, really lag whatsaap free facebook")</f>
        <v>not weigh the parents of people not mobile phones, really lag whatsaap free facebook</v>
      </c>
    </row>
    <row r="5251" spans="1:2" x14ac:dyDescent="0.2">
      <c r="A5251" s="1" t="s">
        <v>5469</v>
      </c>
      <c r="B5251" s="1" t="str">
        <f ca="1">IFERROR(__xludf.DUMFUNCTION("GOOGLETRANSLATE(A5409,""id"",""en"")"),"Indonesia grows rapid transportation tools, there can be a lot of Full  if you use the  application in , how come it's not difficult to think about the old people who don't use a cellphone, how come the motorbike will bring a "&amp;"motorbike if it is explosive")</f>
        <v>Indonesia grows rapid transportation tools, there can be a lot of Full  if you use the  application in , how come it's not difficult to think about the old people who don't use a cellphone, how come the motorbike will bring a motorbike if it is explosive</v>
      </c>
    </row>
    <row r="5252" spans="1:2" x14ac:dyDescent="0.2">
      <c r="A5252" s="1" t="s">
        <v>5470</v>
      </c>
      <c r="B5252" s="1" t="str">
        <f ca="1">IFERROR(__xludf.DUMFUNCTION("GOOGLETRANSLATE(A5410,""id"",""en"")"),"Buy Pertalie BBM Subsidy July Limits Kendara Pertalite Mandatory List of  Applications Not Dangerous Using Hp Area VDVCTALK   SPBU")</f>
        <v>Buy Pertalie BBM Subsidy July Limits Kendara Pertalite Mandatory List of  Applications Not Dangerous Using Hp Area VDVCTALK   SPBU</v>
      </c>
    </row>
    <row r="5253" spans="1:2" x14ac:dyDescent="0.2">
      <c r="A5253" s="1" t="s">
        <v>1922</v>
      </c>
      <c r="B5253" s="1" t="str">
        <f ca="1">IFERROR(__xludf.DUMFUNCTION("GOOGLETRANSLATE(A5411,""id"",""en"")"),"Led Baby sneaker, Mother, Mother, really gemeyyiii cuss co gaiss shopee azzam  ve reply lastanime holywings lontong chico zeenunew")</f>
        <v>Led Baby sneaker, Mother, Mother, really gemeyyiii cuss co gaiss shopee azzam  ve reply lastanime holywings lontong chico zeenunew</v>
      </c>
    </row>
    <row r="5254" spans="1:2" x14ac:dyDescent="0.2">
      <c r="A5254" s="1" t="s">
        <v>5471</v>
      </c>
      <c r="B5254" s="1" t="str">
        <f ca="1">IFERROR(__xludf.DUMFUNCTION("GOOGLETRANSLATE(A5412,""id"",""en"")"),"Yes, I tell me I just use the link,  , I ask the percent of the percent of the HR facilities, I pay for  , the gas station isn't")</f>
        <v>Yes, I tell me I just use the link,  , I ask the percent of the percent of the HR facilities, I pay for  , the gas station isn't</v>
      </c>
    </row>
    <row r="5255" spans="1:2" x14ac:dyDescent="0.2">
      <c r="A5255" s="1" t="s">
        <v>5472</v>
      </c>
      <c r="B5255" s="1" t="str">
        <f ca="1">IFERROR(__xludf.DUMFUNCTION("GOOGLETRANSLATE(A5413,""id"",""en"")"),"Yesterday when I used  , the gasoline, the gasoline, just recommended the lot app, disturbed it")</f>
        <v>Yesterday when I used  , the gasoline, the gasoline, just recommended the lot app, disturbed it</v>
      </c>
    </row>
    <row r="5256" spans="1:2" x14ac:dyDescent="0.2">
      <c r="A5256" s="1" t="s">
        <v>1923</v>
      </c>
      <c r="B5256" s="1" t="str">
        <f ca="1">IFERROR(__xludf.DUMFUNCTION("GOOGLETRANSLATE(A5414,""id"",""en"")"),"Hii gaiss sandals niyy really good ootd an cuss co gaiss shopee Azzam  Ve Reply Lastanime Holywings Lontong Chico Zeenunew")</f>
        <v>Hii gaiss sandals niyy really good ootd an cuss co gaiss shopee Azzam  Ve Reply Lastanime Holywings Lontong Chico Zeenunew</v>
      </c>
    </row>
    <row r="5257" spans="1:2" x14ac:dyDescent="0.2">
      <c r="A5257" s="1" t="s">
        <v>644</v>
      </c>
      <c r="B5257" s="1" t="str">
        <f ca="1">IFERROR(__xludf.DUMFUNCTION("GOOGLETRANSLATE(A5415,""id"",""en"")"),"the purpose of collecting big data that millions of safe data are misused")</f>
        <v>the purpose of collecting big data that millions of safe data are misused</v>
      </c>
    </row>
    <row r="5258" spans="1:2" x14ac:dyDescent="0.2">
      <c r="A5258" s="1" t="s">
        <v>5473</v>
      </c>
      <c r="B5258" s="1" t="str">
        <f ca="1">IFERROR(__xludf.DUMFUNCTION("GOOGLETRANSLATE(A5416,""id"",""en"")"),"don't use  ")</f>
        <v xml:space="preserve">don't use  </v>
      </c>
    </row>
    <row r="5259" spans="1:2" x14ac:dyDescent="0.2">
      <c r="A5259" s="1" t="s">
        <v>1924</v>
      </c>
      <c r="B5259" s="1" t="str">
        <f ca="1">IFERROR(__xludf.DUMFUNCTION("GOOGLETRANSLATE(A5417,""id"",""en"")"),"Not to defend , you don't immediately dick,  dick is going to use if you use a complicated app.")</f>
        <v>Not to defend , you don't immediately dick,  dick is going to use if you use a complicated app.</v>
      </c>
    </row>
    <row r="5260" spans="1:2" x14ac:dyDescent="0.2">
      <c r="A5260" s="1" t="s">
        <v>5474</v>
      </c>
      <c r="B5260" s="1" t="str">
        <f ca="1">IFERROR(__xludf.DUMFUNCTION("GOOGLETRANSLATE(A5419,""id"",""en"")"),"It's really bad, wesss, Cinta Hans, Migor, Pakek Protects Cares Saiki Tuku Gawe Gawe   Jare Subsidy Isok Builds City Lahhh")</f>
        <v>It's really bad, wesss, Cinta Hans, Migor, Pakek Protects Cares Saiki Tuku Gawe Gawe   Jare Subsidy Isok Builds City Lahhh</v>
      </c>
    </row>
    <row r="5261" spans="1:2" x14ac:dyDescent="0.2">
      <c r="A5261" s="1" t="s">
        <v>645</v>
      </c>
      <c r="B5261" s="1" t="str">
        <f ca="1">IFERROR(__xludf.DUMFUNCTION("GOOGLETRANSLATE(A5420,""id"",""en"")"),"failed to discourse because of the solutions that benefit the public")</f>
        <v>failed to discourse because of the solutions that benefit the public</v>
      </c>
    </row>
    <row r="5262" spans="1:2" x14ac:dyDescent="0.2">
      <c r="A5262" s="1" t="s">
        <v>5475</v>
      </c>
      <c r="B5262" s="1" t="str">
        <f ca="1">IFERROR(__xludf.DUMFUNCTION("GOOGLETRANSLATE(A5421,""id"",""en"")"),"Emabg   Needs Fast Access Capital Scan You said complicated")</f>
        <v>Emabg   Needs Fast Access Capital Scan You said complicated</v>
      </c>
    </row>
    <row r="5263" spans="1:2" x14ac:dyDescent="0.2">
      <c r="A5263" s="1" t="s">
        <v>1925</v>
      </c>
      <c r="B5263" s="1" t="str">
        <f ca="1">IFERROR(__xludf.DUMFUNCTION("GOOGLETRANSLATE(A5422,""id"",""en"")"),"it's not  application if Indonesian internet is just a flat bomb")</f>
        <v>it's not  application if Indonesian internet is just a flat bomb</v>
      </c>
    </row>
    <row r="5264" spans="1:2" x14ac:dyDescent="0.2">
      <c r="A5264" s="1" t="s">
        <v>646</v>
      </c>
      <c r="B5264" s="1" t="str">
        <f ca="1">IFERROR(__xludf.DUMFUNCTION("GOOGLETRANSLATE(A5423,""id"",""en"")"),"Dm Min")</f>
        <v>Dm Min</v>
      </c>
    </row>
    <row r="5265" spans="1:2" x14ac:dyDescent="0.2">
      <c r="A5265" s="1" t="s">
        <v>1926</v>
      </c>
      <c r="B5265" s="1" t="str">
        <f ca="1">IFERROR(__xludf.DUMFUNCTION("GOOGLETRANSLATE(A5424,""id"",""en"")"),"Eug bought Shell paying using QRIS HP forbids  gas station")</f>
        <v>Eug bought Shell paying using QRIS HP forbids  gas station</v>
      </c>
    </row>
    <row r="5266" spans="1:2" x14ac:dyDescent="0.2">
      <c r="A5266" s="1" t="s">
        <v>647</v>
      </c>
      <c r="B5266" s="1" t="str">
        <f ca="1">IFERROR(__xludf.DUMFUNCTION("GOOGLETRANSLATE(A5425,""id"",""en"")"),"Don't make the people difficult to be bothered by those who are not farm for the people if they are for the right to not fuel subsidies for gas stations can be type.")</f>
        <v>Don't make the people difficult to be bothered by those who are not farm for the people if they are for the right to not fuel subsidies for gas stations can be type.</v>
      </c>
    </row>
    <row r="5267" spans="1:2" x14ac:dyDescent="0.2">
      <c r="A5267" s="1" t="s">
        <v>1927</v>
      </c>
      <c r="B5267" s="1" t="str">
        <f ca="1">IFERROR(__xludf.DUMFUNCTION("GOOGLETRANSLATE(A5426,""id"",""en"")"),"just kept the slave of  like that")</f>
        <v>just kept the slave of  like that</v>
      </c>
    </row>
    <row r="5268" spans="1:2" x14ac:dyDescent="0.2">
      <c r="A5268" s="1" t="s">
        <v>5476</v>
      </c>
      <c r="B5268" s="1" t="str">
        <f ca="1">IFERROR(__xludf.DUMFUNCTION("GOOGLETRANSLATE(A5428,""id"",""en"")"),"Buy cooking oil now the TKP Cares for Protection to Buy BBM, the requirements for using   nantntik buying a food food that uses the condition of the woy of the command that fails not to make the people who make it complicated by taking care of "&amp;"your bangke")</f>
        <v>Buy cooking oil now the TKP Cares for Protection to Buy BBM, the requirements for using   nantntik buying a food food that uses the condition of the woy of the command that fails not to make the people who make it complicated by taking care of your bangke</v>
      </c>
    </row>
    <row r="5269" spans="1:2" x14ac:dyDescent="0.2">
      <c r="A5269" s="1" t="s">
        <v>1928</v>
      </c>
      <c r="B5269" s="1" t="str">
        <f ca="1">IFERROR(__xludf.DUMFUNCTION("GOOGLETRANSLATE(A5429,""id"",""en"")"),"believe  just check the waves")</f>
        <v>believe  just check the waves</v>
      </c>
    </row>
    <row r="5270" spans="1:2" x14ac:dyDescent="0.2">
      <c r="A5270" s="1" t="s">
        <v>648</v>
      </c>
      <c r="B5270" s="1" t="str">
        <f ca="1">IFERROR(__xludf.DUMFUNCTION("GOOGLETRANSLATE(A5430,""id"",""en"")"),"please give you clear")</f>
        <v>please give you clear</v>
      </c>
    </row>
    <row r="5271" spans="1:2" x14ac:dyDescent="0.2">
      <c r="A5271" s="1" t="s">
        <v>5477</v>
      </c>
      <c r="B5271" s="1" t="str">
        <f ca="1">IFERROR(__xludf.DUMFUNCTION("GOOGLETRANSLATE(A5431,""id"",""en"")")," Ahokers Lead   Hati Indonesia Kolaps because of online")</f>
        <v xml:space="preserve"> Ahokers Lead   Hati Indonesia Kolaps because of online</v>
      </c>
    </row>
    <row r="5272" spans="1:2" x14ac:dyDescent="0.2">
      <c r="A5272" s="1" t="s">
        <v>649</v>
      </c>
      <c r="B5272" s="1" t="str">
        <f ca="1">IFERROR(__xludf.DUMFUNCTION("GOOGLETRANSLATE(A5432,""id"",""en"")"),"Save Code QR Spbulah application that scraps from the data that is scanned by gas stations, task of reading machine data according to no vehicle that is used")</f>
        <v>Save Code QR Spbulah application that scraps from the data that is scanned by gas stations, task of reading machine data according to no vehicle that is used</v>
      </c>
    </row>
    <row r="5273" spans="1:2" x14ac:dyDescent="0.2">
      <c r="A5273" s="1" t="s">
        <v>1929</v>
      </c>
      <c r="B5273" s="1" t="str">
        <f ca="1">IFERROR(__xludf.DUMFUNCTION("GOOGLETRANSLATE(A5433,""id"",""en"")"),"Yo Dadi Orders Enek Anggar Dinggo Mbangun  Dadi Enek Chance Dinggo Tambang Money Bestie")</f>
        <v>Yo Dadi Orders Enek Anggar Dinggo Mbangun  Dadi Enek Chance Dinggo Tambang Money Bestie</v>
      </c>
    </row>
    <row r="5274" spans="1:2" x14ac:dyDescent="0.2">
      <c r="A5274" s="1" t="s">
        <v>1930</v>
      </c>
      <c r="B5274" s="1" t="str">
        <f ca="1">IFERROR(__xludf.DUMFUNCTION("GOOGLETRANSLATE(A5434,""id"",""en"")"),"sitting in 's chair is really utbk")</f>
        <v>sitting in 's chair is really utbk</v>
      </c>
    </row>
    <row r="5275" spans="1:2" x14ac:dyDescent="0.2">
      <c r="A5275" s="1" t="s">
        <v>5478</v>
      </c>
      <c r="B5275" s="1" t="str">
        <f ca="1">IFERROR(__xludf.DUMFUNCTION("GOOGLETRANSLATE(A5435,""id"",""en"")"),"  is not a function of KTP, maximum data sitting in the country, just coordinate the Dukcapil coordination of the Ministry of Social Affairs, the KTP data is already in the chip, just friction like an ATM or not")</f>
        <v xml:space="preserve">  is not a function of KTP, maximum data sitting in the country, just coordinate the Dukcapil coordination of the Ministry of Social Affairs, the KTP data is already in the chip, just friction like an ATM or not</v>
      </c>
    </row>
    <row r="5276" spans="1:2" x14ac:dyDescent="0.2">
      <c r="A5276" s="1" t="s">
        <v>5479</v>
      </c>
      <c r="B5276" s="1" t="str">
        <f ca="1">IFERROR(__xludf.DUMFUNCTION("GOOGLETRANSLATE(A5436,""id"",""en"")"),"Yesterday the flip -flops   yok yok")</f>
        <v>Yesterday the flip -flops   yok yok</v>
      </c>
    </row>
    <row r="5277" spans="1:2" x14ac:dyDescent="0.2">
      <c r="A5277" s="1" t="s">
        <v>1931</v>
      </c>
      <c r="B5277" s="1" t="str">
        <f ca="1">IFERROR(__xludf.DUMFUNCTION("GOOGLETRANSLATE(A5437,""id"",""en"")"),"Wayy is stupid, how about 's news")</f>
        <v>Wayy is stupid, how about 's news</v>
      </c>
    </row>
    <row r="5278" spans="1:2" x14ac:dyDescent="0.2">
      <c r="A5278" s="1" t="s">
        <v>650</v>
      </c>
      <c r="B5278" s="1" t="str">
        <f ca="1">IFERROR(__xludf.DUMFUNCTION("GOOGLETRANSLATE(A5438,""id"",""en"")"),"I buy fuel subsidized for the Difficult People's Application if the car motorbike borrowed the city of the road, the application must")</f>
        <v>I buy fuel subsidized for the Difficult People's Application if the car motorbike borrowed the city of the road, the application must</v>
      </c>
    </row>
    <row r="5279" spans="1:2" x14ac:dyDescent="0.2">
      <c r="A5279" s="1" t="s">
        <v>1800</v>
      </c>
      <c r="B5279" s="1" t="str">
        <f ca="1">IFERROR(__xludf.DUMFUNCTION("GOOGLETRANSLATE(A5439,""id"",""en"")"),"Very worried 's efforts to the First Pertalite Limit")</f>
        <v>Very worried 's efforts to the First Pertalite Limit</v>
      </c>
    </row>
    <row r="5280" spans="1:2" x14ac:dyDescent="0.2">
      <c r="A5280" s="1" t="s">
        <v>5480</v>
      </c>
      <c r="B5280" s="1" t="str">
        <f ca="1">IFERROR(__xludf.DUMFUNCTION("GOOGLETRANSLATE(A5440,""id"",""en"")"),"Record  Test for the  Application The Terms of Buying BBM Subsidies July Region SIMAK Complete Application")</f>
        <v>Record  Test for the  Application The Terms of Buying BBM Subsidies July Region SIMAK Complete Application</v>
      </c>
    </row>
    <row r="5281" spans="1:2" x14ac:dyDescent="0.2">
      <c r="A5281" s="1" t="s">
        <v>5481</v>
      </c>
      <c r="B5281" s="1" t="str">
        <f ca="1">IFERROR(__xludf.DUMFUNCTION("GOOGLETRANSLATE(A5441,""id"",""en"")"),"Buy Pertalite Fuel Juli Limit Buy Pertalite Mandatory List of 's Website  Application Buy RDY Seputarinewsrcti RCTI Pertalite  Gasoline Bbm Solar")</f>
        <v>Buy Pertalite Fuel Juli Limit Buy Pertalite Mandatory List of 's Website  Application Buy RDY Seputarinewsrcti RCTI Pertalite  Gasoline Bbm Solar</v>
      </c>
    </row>
    <row r="5282" spans="1:2" x14ac:dyDescent="0.2">
      <c r="A5282" s="1" t="s">
        <v>1932</v>
      </c>
      <c r="B5282" s="1" t="str">
        <f ca="1">IFERROR(__xludf.DUMFUNCTION("GOOGLETRANSLATE(A5442,""id"",""en"")"),"gasoline doesn't taste expensive if it is raised by  with supreme to make gasoline limited edition supreme")</f>
        <v>gasoline doesn't taste expensive if it is raised by  with supreme to make gasoline limited edition supreme</v>
      </c>
    </row>
    <row r="5283" spans="1:2" x14ac:dyDescent="0.2">
      <c r="A5283" s="1" t="s">
        <v>1933</v>
      </c>
      <c r="B5283" s="1" t="str">
        <f ca="1">IFERROR(__xludf.DUMFUNCTION("GOOGLETRANSLATE(A5443,""id"",""en"")"),"Min Hook For  Application Buy Solar Pertalite")</f>
        <v>Min Hook For  Application Buy Solar Pertalite</v>
      </c>
    </row>
    <row r="5284" spans="1:2" x14ac:dyDescent="0.2">
      <c r="A5284" s="1" t="s">
        <v>1934</v>
      </c>
      <c r="B5284" s="1" t="str">
        <f ca="1">IFERROR(__xludf.DUMFUNCTION("GOOGLETRANSLATE(A5444,""id"",""en"")"),"The torture of the people if  loses the changing commut replace the Minister of BUMN must be responsible for the law to take forced fees from the people")</f>
        <v>The torture of the people if  loses the changing commut replace the Minister of BUMN must be responsible for the law to take forced fees from the people</v>
      </c>
    </row>
    <row r="5285" spans="1:2" x14ac:dyDescent="0.2">
      <c r="A5285" s="1" t="s">
        <v>5482</v>
      </c>
      <c r="B5285" s="1" t="str">
        <f ca="1">IFERROR(__xludf.DUMFUNCTION("GOOGLETRANSLATE(A5445,""id"",""en"")"),"Please review buying BBM with  app, it's not difficult for the people to make it, if you make it a target, or not")</f>
        <v>Please review buying BBM with  app, it's not difficult for the people to make it, if you make it a target, or not</v>
      </c>
    </row>
    <row r="5286" spans="1:2" x14ac:dyDescent="0.2">
      <c r="A5286" s="1" t="s">
        <v>5483</v>
      </c>
      <c r="B5286" s="1" t="str">
        <f ca="1">IFERROR(__xludf.DUMFUNCTION("GOOGLETRANSLATE(A5446,""id"",""en"")"),"Bucket Hat Doctor Last Ghibli Indra Bekti Holywings   Afternoon")</f>
        <v>Bucket Hat Doctor Last Ghibli Indra Bekti Holywings   Afternoon</v>
      </c>
    </row>
    <row r="5287" spans="1:2" x14ac:dyDescent="0.2">
      <c r="A5287" s="1" t="s">
        <v>1935</v>
      </c>
      <c r="B5287" s="1" t="str">
        <f ca="1">IFERROR(__xludf.DUMFUNCTION("GOOGLETRANSLATE(A5447,""id"",""en"")"),"Good Job ")</f>
        <v xml:space="preserve">Good Job </v>
      </c>
    </row>
    <row r="5288" spans="1:2" x14ac:dyDescent="0.2">
      <c r="A5288" s="1" t="s">
        <v>1936</v>
      </c>
      <c r="B5288" s="1" t="str">
        <f ca="1">IFERROR(__xludf.DUMFUNCTION("GOOGLETRANSLATE(A5448,""id"",""en"")"),"the news explains the community owned by the cellphone buy fuel subsidies for the list of the verification of the  database system, read the cash pay, not to pay for the APK")</f>
        <v>the news explains the community owned by the cellphone buy fuel subsidies for the list of the verification of the  database system, read the cash pay, not to pay for the APK</v>
      </c>
    </row>
    <row r="5289" spans="1:2" x14ac:dyDescent="0.2">
      <c r="A5289" s="1" t="s">
        <v>1937</v>
      </c>
      <c r="B5289" s="1" t="str">
        <f ca="1">IFERROR(__xludf.DUMFUNCTION("GOOGLETRANSLATE(A5449,""id"",""en"")"),"Mas Tri Gold Opportunities Transformation of Green Energy Energy Transformation with Innovation of the Indonesian Ev Battery Factory PLN INALUM AMP  Collaboratively Forms of Giant Business Ev Battery Electric Cars Bangkitbersamaet")</f>
        <v>Mas Tri Gold Opportunities Transformation of Green Energy Energy Transformation with Innovation of the Indonesian Ev Battery Factory PLN INALUM AMP  Collaboratively Forms of Giant Business Ev Battery Electric Cars Bangkitbersamaet</v>
      </c>
    </row>
    <row r="5290" spans="1:2" x14ac:dyDescent="0.2">
      <c r="A5290" s="1" t="s">
        <v>5484</v>
      </c>
      <c r="B5290" s="1" t="str">
        <f ca="1">IFERROR(__xludf.DUMFUNCTION("GOOGLETRANSLATE(A5450,""id"",""en"")"),"  Launching Perfect Applications Not Automatically Log out Log in Signal Constraints etc.")</f>
        <v xml:space="preserve">  Launching Perfect Applications Not Automatically Log out Log in Signal Constraints etc.</v>
      </c>
    </row>
    <row r="5291" spans="1:2" x14ac:dyDescent="0.2">
      <c r="A5291" s="1" t="s">
        <v>651</v>
      </c>
      <c r="B5291" s="1" t="str">
        <f ca="1">IFERROR(__xludf.DUMFUNCTION("GOOGLETRANSLATE(A5451,""id"",""en"")"),"Discourse to Buy BBM Subsidies with a cellphone, it prohibits the BBM Gen, not a shell solution, a special container for buying a container")</f>
        <v>Discourse to Buy BBM Subsidies with a cellphone, it prohibits the BBM Gen, not a shell solution, a special container for buying a container</v>
      </c>
    </row>
    <row r="5292" spans="1:2" x14ac:dyDescent="0.2">
      <c r="A5292" s="1" t="s">
        <v>1938</v>
      </c>
      <c r="B5292" s="1" t="str">
        <f ca="1">IFERROR(__xludf.DUMFUNCTION("GOOGLETRANSLATE(A5452,""id"",""en"")"),"Srg discusses the campus world but it is like  stupid, the magnetic signal of the cellphone is burn")</f>
        <v>Srg discusses the campus world but it is like  stupid, the magnetic signal of the cellphone is burn</v>
      </c>
    </row>
    <row r="5293" spans="1:2" x14ac:dyDescent="0.2">
      <c r="A5293" s="1" t="s">
        <v>1939</v>
      </c>
      <c r="B5293" s="1" t="str">
        <f ca="1">IFERROR(__xludf.DUMFUNCTION("GOOGLETRANSLATE(A5453,""id"",""en"")"),"usually not package ready for free wifi pom ")</f>
        <v xml:space="preserve">usually not package ready for free wifi pom </v>
      </c>
    </row>
    <row r="5294" spans="1:2" x14ac:dyDescent="0.2">
      <c r="A5294" s="1" t="s">
        <v>5485</v>
      </c>
      <c r="B5294" s="1" t="str">
        <f ca="1">IFERROR(__xludf.DUMFUNCTION("GOOGLETRANSLATE(A5454,""id"",""en"")"),"haha the gas station who refused to pay via   SPBU Arjosari Panji Suroso Araya")</f>
        <v>haha the gas station who refused to pay via   SPBU Arjosari Panji Suroso Araya</v>
      </c>
    </row>
    <row r="5295" spans="1:2" x14ac:dyDescent="0.2">
      <c r="A5295" s="1" t="s">
        <v>1940</v>
      </c>
      <c r="B5295" s="1" t="str">
        <f ca="1">IFERROR(__xludf.DUMFUNCTION("GOOGLETRANSLATE(A5455,""id"",""en"")"),"Walach Walach nder memory storing the state disgrace of the State of 's data is sitting right")</f>
        <v>Walach Walach nder memory storing the state disgrace of the State of 's data is sitting right</v>
      </c>
    </row>
    <row r="5296" spans="1:2" x14ac:dyDescent="0.2">
      <c r="A5296" s="1" t="s">
        <v>652</v>
      </c>
      <c r="B5296" s="1" t="str">
        <f ca="1">IFERROR(__xludf.DUMFUNCTION("GOOGLETRANSLATE(A5456,""id"",""en"")"),"for your references")</f>
        <v>for your references</v>
      </c>
    </row>
    <row r="5297" spans="1:2" x14ac:dyDescent="0.2">
      <c r="A5297" s="1" t="s">
        <v>1941</v>
      </c>
      <c r="B5297" s="1" t="str">
        <f ca="1">IFERROR(__xludf.DUMFUNCTION("GOOGLETRANSLATE(A5457,""id"",""en"")")," Investigates Oil Spill in Cilacap Waters Tempoenglish")</f>
        <v xml:space="preserve"> Investigates Oil Spill in Cilacap Waters Tempoenglish</v>
      </c>
    </row>
    <row r="5298" spans="1:2" x14ac:dyDescent="0.2">
      <c r="A5298" s="1" t="s">
        <v>653</v>
      </c>
      <c r="B5298" s="1" t="str">
        <f ca="1">IFERROR(__xludf.DUMFUNCTION("GOOGLETRANSLATE(A5458,""id"",""en"")"),"spilled liter")</f>
        <v>spilled liter</v>
      </c>
    </row>
    <row r="5299" spans="1:2" x14ac:dyDescent="0.2">
      <c r="A5299" s="1" t="s">
        <v>5486</v>
      </c>
      <c r="B5299" s="1" t="str">
        <f ca="1">IFERROR(__xludf.DUMFUNCTION("GOOGLETRANSLATE(A5459,""id"",""en"")"),"JULI BUY PERTALITE SOLAR    PERTALITE SOLAR")</f>
        <v>JULI BUY PERTALITE SOLAR    PERTALITE SOLAR</v>
      </c>
    </row>
    <row r="5300" spans="1:2" x14ac:dyDescent="0.2">
      <c r="A5300" s="1" t="s">
        <v>5487</v>
      </c>
      <c r="B5300" s="1" t="str">
        <f ca="1">IFERROR(__xludf.DUMFUNCTION("GOOGLETRANSLATE(A5460,""id"",""en"")"),"great if you don't list the website apk , I really don't buy a gas station so that it just buys a roadside that ecer is really good at Poko , prosperous people who sell fuel.")</f>
        <v>great if you don't list the website apk , I really don't buy a gas station so that it just buys a roadside that ecer is really good at Poko , prosperous people who sell fuel.</v>
      </c>
    </row>
    <row r="5301" spans="1:2" x14ac:dyDescent="0.2">
      <c r="A5301" s="1" t="s">
        <v>654</v>
      </c>
      <c r="B5301" s="1" t="str">
        <f ca="1">IFERROR(__xludf.DUMFUNCTION("GOOGLETRANSLATE(A5461,""id"",""en"")"),"It's already a time to replace the president of the regime, I have experienced bought fuel until he queued")</f>
        <v>It's already a time to replace the president of the regime, I have experienced bought fuel until he queued</v>
      </c>
    </row>
    <row r="5302" spans="1:2" x14ac:dyDescent="0.2">
      <c r="A5302" s="1" t="s">
        <v>5488</v>
      </c>
      <c r="B5302" s="1" t="str">
        <f ca="1">IFERROR(__xludf.DUMFUNCTION("GOOGLETRANSLATE(A5462,""id"",""en"")"),"Confused  ")</f>
        <v xml:space="preserve">Confused  </v>
      </c>
    </row>
    <row r="5303" spans="1:2" x14ac:dyDescent="0.2">
      <c r="A5303" s="1" t="s">
        <v>1942</v>
      </c>
      <c r="B5303" s="1" t="str">
        <f ca="1">IFERROR(__xludf.DUMFUNCTION("GOOGLETRANSLATE(A5463,""id"",""en"")"),"Children do you know the contact of 's sea horse")</f>
        <v>Children do you know the contact of 's sea horse</v>
      </c>
    </row>
    <row r="5304" spans="1:2" x14ac:dyDescent="0.2">
      <c r="A5304" s="1" t="s">
        <v>5489</v>
      </c>
      <c r="B5304" s="1" t="str">
        <f ca="1">IFERROR(__xludf.DUMFUNCTION("GOOGLETRANSLATE(A5464,""id"",""en"")"),"there are friends who applications   pay gas stations who receive the payment")</f>
        <v>there are friends who applications   pay gas stations who receive the payment</v>
      </c>
    </row>
    <row r="5305" spans="1:2" x14ac:dyDescent="0.2">
      <c r="A5305" s="1" t="s">
        <v>1943</v>
      </c>
      <c r="B5305" s="1" t="str">
        <f ca="1">IFERROR(__xludf.DUMFUNCTION("GOOGLETRANSLATE(A5465,""id"",""en"")")," came here there")</f>
        <v xml:space="preserve"> came here there</v>
      </c>
    </row>
    <row r="5306" spans="1:2" x14ac:dyDescent="0.2">
      <c r="A5306" s="1" t="s">
        <v>5490</v>
      </c>
      <c r="B5306" s="1" t="str">
        <f ca="1">IFERROR(__xludf.DUMFUNCTION("GOOGLETRANSLATE(A5466,""id"",""en"")"),"  just pay using the link")</f>
        <v xml:space="preserve">  just pay using the link</v>
      </c>
    </row>
    <row r="5307" spans="1:2" x14ac:dyDescent="0.2">
      <c r="A5307" s="1" t="s">
        <v>1944</v>
      </c>
      <c r="B5307" s="1" t="str">
        <f ca="1">IFERROR(__xludf.DUMFUNCTION("GOOGLETRANSLATE(A5467,""id"",""en"")"),"wkwkwkwk  reseller")</f>
        <v>wkwkwkwk  reseller</v>
      </c>
    </row>
    <row r="5308" spans="1:2" x14ac:dyDescent="0.2">
      <c r="A5308" s="1" t="s">
        <v>5491</v>
      </c>
      <c r="B5308" s="1" t="str">
        <f ca="1">IFERROR(__xludf.DUMFUNCTION("GOOGLETRANSLATE(A5468,""id"",""en"")"),"List of  Buy BBM Pertalite Solar")</f>
        <v>List of  Buy BBM Pertalite Solar</v>
      </c>
    </row>
    <row r="5309" spans="1:2" x14ac:dyDescent="0.2">
      <c r="A5309" s="1" t="s">
        <v>1945</v>
      </c>
      <c r="B5309" s="1" t="str">
        <f ca="1">IFERROR(__xludf.DUMFUNCTION("GOOGLETRANSLATE(A5469,""id"",""en"")"),"I don't accept SNMPTN ITB, then the University of 's Scholarship Full Scholarship gives money money from  parents, rarely send your money")</f>
        <v>I don't accept SNMPTN ITB, then the University of 's Scholarship Full Scholarship gives money money from  parents, rarely send your money</v>
      </c>
    </row>
    <row r="5310" spans="1:2" x14ac:dyDescent="0.2">
      <c r="A5310" s="1" t="s">
        <v>5492</v>
      </c>
      <c r="B5310" s="1" t="str">
        <f ca="1">IFERROR(__xludf.DUMFUNCTION("GOOGLETRANSLATE(A5470,""id"",""en"")"),"Monggo registered the   Ojok Mumet Lurr Sumber by Loc Kulon Progo Yogyakarta Yogyakarta Panoramakulonprogo Kulonprogo Jogja Regency")</f>
        <v>Monggo registered the   Ojok Mumet Lurr Sumber by Loc Kulon Progo Yogyakarta Yogyakarta Panoramakulonprogo Kulonprogo Jogja Regency</v>
      </c>
    </row>
    <row r="5311" spans="1:2" x14ac:dyDescent="0.2">
      <c r="A5311" s="1" t="s">
        <v>5493</v>
      </c>
      <c r="B5311" s="1" t="str">
        <f ca="1">IFERROR(__xludf.DUMFUNCTION("GOOGLETRANSLATE(A5472,""id"",""en"")"),"Buy Cooking Oil Kudu Make Care Protection Buy BBM Kudu   Application Ribet Kieu Ieu Nagara Heuu")</f>
        <v>Buy Cooking Oil Kudu Make Care Protection Buy BBM Kudu   Application Ribet Kieu Ieu Nagara Heuu</v>
      </c>
    </row>
    <row r="5312" spans="1:2" x14ac:dyDescent="0.2">
      <c r="A5312" s="1" t="s">
        <v>5494</v>
      </c>
      <c r="B5312" s="1" t="str">
        <f ca="1">IFERROR(__xludf.DUMFUNCTION("GOOGLETRANSLATE(A5473,""id"",""en"")"),"Forbidding Mobile Hp Gas Station Pay using   app.  brain doesn't reach")</f>
        <v>Forbidding Mobile Hp Gas Station Pay using   app.  brain doesn't reach</v>
      </c>
    </row>
    <row r="5313" spans="1:2" x14ac:dyDescent="0.2">
      <c r="A5313" s="1" t="s">
        <v>1946</v>
      </c>
      <c r="B5313" s="1" t="str">
        <f ca="1">IFERROR(__xludf.DUMFUNCTION("GOOGLETRANSLATE(A5474,""id"",""en"")")," Sanctions SPBU Kudus Langgar Salur Pertalite")</f>
        <v xml:space="preserve"> Sanctions SPBU Kudus Langgar Salur Pertalite</v>
      </c>
    </row>
    <row r="5314" spans="1:2" x14ac:dyDescent="0.2">
      <c r="A5314" s="1" t="s">
        <v>1947</v>
      </c>
      <c r="B5314" s="1" t="str">
        <f ca="1">IFERROR(__xludf.DUMFUNCTION("GOOGLETRANSLATE(A5475,""id"",""en"")")," isn't just ")</f>
        <v xml:space="preserve"> isn't just </v>
      </c>
    </row>
    <row r="5315" spans="1:2" x14ac:dyDescent="0.2">
      <c r="A5315" s="1" t="s">
        <v>5495</v>
      </c>
      <c r="B5315" s="1" t="str">
        <f ca="1">IFERROR(__xludf.DUMFUNCTION("GOOGLETRANSLATE(A5476,""id"",""en"")"),"Using   prohibits the operation of the strange gas station mobile phone")</f>
        <v>Using   prohibits the operation of the strange gas station mobile phone</v>
      </c>
    </row>
    <row r="5316" spans="1:2" x14ac:dyDescent="0.2">
      <c r="A5316" s="1" t="s">
        <v>1948</v>
      </c>
      <c r="B5316" s="1" t="str">
        <f ca="1">IFERROR(__xludf.DUMFUNCTION("GOOGLETRANSLATE(A5477,""id"",""en"")")," Investigation Because Liter Calm Oil Cilacap Strive")</f>
        <v xml:space="preserve"> Investigation Because Liter Calm Oil Cilacap Strive</v>
      </c>
    </row>
    <row r="5317" spans="1:2" x14ac:dyDescent="0.2">
      <c r="A5317" s="1" t="s">
        <v>1949</v>
      </c>
      <c r="B5317" s="1" t="str">
        <f ca="1">IFERROR(__xludf.DUMFUNCTION("GOOGLETRANSLATE(A5478,""id"",""en"")")," Meeting the Java Sea Oil and Gas Parts")</f>
        <v xml:space="preserve"> Meeting the Java Sea Oil and Gas Parts</v>
      </c>
    </row>
    <row r="5318" spans="1:2" x14ac:dyDescent="0.2">
      <c r="A5318" s="1" t="s">
        <v>5496</v>
      </c>
      <c r="B5318" s="1" t="str">
        <f ca="1">IFERROR(__xludf.DUMFUNCTION("GOOGLETRANSLATE(A5479,""id"",""en"")")," Pertalite Non -Subsidized Order for Consumers Who Register ")</f>
        <v xml:space="preserve"> Pertalite Non -Subsidized Order for Consumers Who Register </v>
      </c>
    </row>
    <row r="5319" spans="1:2" x14ac:dyDescent="0.2">
      <c r="A5319" s="1" t="s">
        <v>5497</v>
      </c>
      <c r="B5319" s="1" t="str">
        <f ca="1">IFERROR(__xludf.DUMFUNCTION("GOOGLETRANSLATE(A5480,""id"",""en"")")," Testing Salur Pertalite Solar For the Salur Salur Mechanism, see the trial step of the Salur Solar ")</f>
        <v xml:space="preserve"> Testing Salur Pertalite Solar For the Salur Salur Mechanism, see the trial step of the Salur Solar </v>
      </c>
    </row>
    <row r="5320" spans="1:2" x14ac:dyDescent="0.2">
      <c r="A5320" s="1" t="s">
        <v>5498</v>
      </c>
      <c r="B5320" s="1" t="str">
        <f ca="1">IFERROR(__xludf.DUMFUNCTION("GOOGLETRANSLATE(A5481,""id"",""en"")"),"The wise record buy gasoline using  app   amp buying oil using protection.")</f>
        <v>The wise record buy gasoline using  app   amp buying oil using protection.</v>
      </c>
    </row>
    <row r="5321" spans="1:2" x14ac:dyDescent="0.2">
      <c r="A5321" s="1" t="s">
        <v>655</v>
      </c>
      <c r="B5321" s="1" t="str">
        <f ca="1">IFERROR(__xludf.DUMFUNCTION("GOOGLETRANSLATE(A5482,""id"",""en"")"),"Delete Write amp Sign of the Hp Fill Fill in Gasoline")</f>
        <v>Delete Write amp Sign of the Hp Fill Fill in Gasoline</v>
      </c>
    </row>
    <row r="5322" spans="1:2" x14ac:dyDescent="0.2">
      <c r="A5322" s="1" t="s">
        <v>5499</v>
      </c>
      <c r="B5322" s="1" t="str">
        <f ca="1">IFERROR(__xludf.DUMFUNCTION("GOOGLETRANSLATE(A5483,""id"",""en"")"),"  Kada Kawa is installed in the Ulun region whose internet access uses wifi and gas station")</f>
        <v xml:space="preserve">  Kada Kawa is installed in the Ulun region whose internet access uses wifi and gas station</v>
      </c>
    </row>
    <row r="5323" spans="1:2" x14ac:dyDescent="0.2">
      <c r="A5323" s="1" t="s">
        <v>1950</v>
      </c>
      <c r="B5323" s="1" t="str">
        <f ca="1">IFERROR(__xludf.DUMFUNCTION("GOOGLETRANSLATE(A5484,""id"",""en"")"),"If  is losing, then just take the Pertalite Solar  Management, Retshuffle, looking for the person who is really working from the Nimbulin Risk Machine Application for the Life")</f>
        <v>If  is losing, then just take the Pertalite Solar  Management, Retshuffle, looking for the person who is really working from the Nimbulin Risk Machine Application for the Life</v>
      </c>
    </row>
    <row r="5324" spans="1:2" x14ac:dyDescent="0.2">
      <c r="A5324" s="1" t="s">
        <v>5500</v>
      </c>
      <c r="B5324" s="1" t="str">
        <f ca="1">IFERROR(__xludf.DUMFUNCTION("GOOGLETRANSLATE(A5486,""id"",""en"")"),"Terms of Buying Pertalite Buy Android Mobile Fill in Internet Quota Download   If you buy Pertalite Buy Internet Quota Pertalite Road Quota")</f>
        <v>Terms of Buying Pertalite Buy Android Mobile Fill in Internet Quota Download   If you buy Pertalite Buy Internet Quota Pertalite Road Quota</v>
      </c>
    </row>
    <row r="5325" spans="1:2" x14ac:dyDescent="0.2">
      <c r="A5325" s="1" t="s">
        <v>653</v>
      </c>
      <c r="B5325" s="1" t="str">
        <f ca="1">IFERROR(__xludf.DUMFUNCTION("GOOGLETRANSLATE(A5487,""id"",""en"")"),"spilled liter")</f>
        <v>spilled liter</v>
      </c>
    </row>
    <row r="5326" spans="1:2" x14ac:dyDescent="0.2">
      <c r="A5326" s="1" t="s">
        <v>5501</v>
      </c>
      <c r="B5326" s="1" t="str">
        <f ca="1">IFERROR(__xludf.DUMFUNCTION("GOOGLETRANSLATE(A5488,""id"",""en"")"),"Rame   yes, we download the apk but not the ISO Payment gas station")</f>
        <v>Rame   yes, we download the apk but not the ISO Payment gas station</v>
      </c>
    </row>
    <row r="5327" spans="1:2" x14ac:dyDescent="0.2">
      <c r="A5327" s="1" t="s">
        <v>655</v>
      </c>
      <c r="B5327" s="1" t="str">
        <f ca="1">IFERROR(__xludf.DUMFUNCTION("GOOGLETRANSLATE(A5489,""id"",""en"")"),"Delete Write amp Sign of the Hp Fill Fill in Gasoline")</f>
        <v>Delete Write amp Sign of the Hp Fill Fill in Gasoline</v>
      </c>
    </row>
    <row r="5328" spans="1:2" x14ac:dyDescent="0.2">
      <c r="A5328" s="1" t="s">
        <v>5502</v>
      </c>
      <c r="B5328" s="1" t="str">
        <f ca="1">IFERROR(__xludf.DUMFUNCTION("GOOGLETRANSLATE(A5490,""id"",""en"")"),"Dasco hopes  except wisely citizens belonging to the smart phone Pertalite Solar ")</f>
        <v xml:space="preserve">Dasco hopes  except wisely citizens belonging to the smart phone Pertalite Solar </v>
      </c>
    </row>
    <row r="5329" spans="1:2" x14ac:dyDescent="0.2">
      <c r="A5329" s="1" t="s">
        <v>1951</v>
      </c>
      <c r="B5329" s="1" t="str">
        <f ca="1">IFERROR(__xludf.DUMFUNCTION("GOOGLETRANSLATE(A5491,""id"",""en"")"),"Be  SPBU GA GABATE Turn on 's cellphone hehehe if you give money, it's okay")</f>
        <v>Be  SPBU GA GABATE Turn on 's cellphone hehehe if you give money, it's okay</v>
      </c>
    </row>
    <row r="5330" spans="1:2" x14ac:dyDescent="0.2">
      <c r="A5330" s="1" t="s">
        <v>5503</v>
      </c>
      <c r="B5330" s="1" t="str">
        <f ca="1">IFERROR(__xludf.DUMFUNCTION("GOOGLETRANSLATE(A5492,""id"",""en"")"),"POLL SELIT SAID BROTHER SYOKER AHOKER TEPUT SIGNS ALL THE PEOPLE PICTURE ITS POST KUMU HELL   FOR SABOTAGE DATA BASE OFFICE MONEY OFFICE")</f>
        <v>POLL SELIT SAID BROTHER SYOKER AHOKER TEPUT SIGNS ALL THE PEOPLE PICTURE ITS POST KUMU HELL   FOR SABOTAGE DATA BASE OFFICE MONEY OFFICE</v>
      </c>
    </row>
    <row r="5331" spans="1:2" x14ac:dyDescent="0.2">
      <c r="A5331" s="1" t="s">
        <v>1952</v>
      </c>
      <c r="B5331" s="1" t="str">
        <f ca="1">IFERROR(__xludf.DUMFUNCTION("GOOGLETRANSLATE(A5493,""id"",""en"")"),"Sorry, 's Managing Director, I don't need")</f>
        <v>Sorry, 's Managing Director, I don't need</v>
      </c>
    </row>
    <row r="5332" spans="1:2" x14ac:dyDescent="0.2">
      <c r="A5332" s="1" t="s">
        <v>5504</v>
      </c>
      <c r="B5332" s="1" t="str">
        <f ca="1">IFERROR(__xludf.DUMFUNCTION("GOOGLETRANSLATE(A5494,""id"",""en"")"),"the problem is right, right?")</f>
        <v>the problem is right, right?</v>
      </c>
    </row>
    <row r="5333" spans="1:2" x14ac:dyDescent="0.2">
      <c r="A5333" s="1" t="s">
        <v>5505</v>
      </c>
      <c r="B5333" s="1" t="str">
        <f ca="1">IFERROR(__xludf.DUMFUNCTION("GOOGLETRANSLATE(A5495,""id"",""en"")"),"it's already fixed bang  ")</f>
        <v xml:space="preserve">it's already fixed bang  </v>
      </c>
    </row>
    <row r="5334" spans="1:2" x14ac:dyDescent="0.2">
      <c r="A5334" s="1" t="s">
        <v>1953</v>
      </c>
      <c r="B5334" s="1" t="str">
        <f ca="1">IFERROR(__xludf.DUMFUNCTION("GOOGLETRANSLATE(A5496,""id"",""en"")"),"Candate ")</f>
        <v xml:space="preserve">Candate </v>
      </c>
    </row>
    <row r="5335" spans="1:2" x14ac:dyDescent="0.2">
      <c r="A5335" s="1" t="s">
        <v>5506</v>
      </c>
      <c r="B5335" s="1" t="str">
        <f ca="1">IFERROR(__xludf.DUMFUNCTION("GOOGLETRANSLATE(A5497,""id"",""en"")"),"Luckily, I already bought  petrol, minus, just minus it instead of a cash scan of qr")</f>
        <v>Luckily, I already bought  petrol, minus, just minus it instead of a cash scan of qr</v>
      </c>
    </row>
    <row r="5336" spans="1:2" x14ac:dyDescent="0.2">
      <c r="A5336" s="1" t="s">
        <v>5507</v>
      </c>
      <c r="B5336" s="1" t="str">
        <f ca="1">IFERROR(__xludf.DUMFUNCTION("GOOGLETRANSLATE(A5498,""id"",""en"")"),"sdf account wes list   ta gae ready to tuku gasoline")</f>
        <v>sdf account wes list   ta gae ready to tuku gasoline</v>
      </c>
    </row>
    <row r="5337" spans="1:2" x14ac:dyDescent="0.2">
      <c r="A5337" s="1" t="s">
        <v>5508</v>
      </c>
      <c r="B5337" s="1" t="str">
        <f ca="1">IFERROR(__xludf.DUMFUNCTION("GOOGLETRANSLATE(A5499,""id"",""en"")"),"Deputy Speaker of the Indonesian Parliament Sufmi Dasco Ahmad PT  Extensive Socialization in the Hook Plan for the  Pertalite Solar  application")</f>
        <v>Deputy Speaker of the Indonesian Parliament Sufmi Dasco Ahmad PT  Extensive Socialization in the Hook Plan for the  Pertalite Solar  application</v>
      </c>
    </row>
    <row r="5338" spans="1:2" x14ac:dyDescent="0.2">
      <c r="A5338" s="1" t="s">
        <v>5509</v>
      </c>
      <c r="B5338" s="1" t="str">
        <f ca="1">IFERROR(__xludf.DUMFUNCTION("GOOGLETRANSLATE(A5500,""id"",""en"")"),"Life makes it easy to make a complicated example,   doesn't use a strange log in just when you queue")</f>
        <v>Life makes it easy to make a complicated example,   doesn't use a strange log in just when you queue</v>
      </c>
    </row>
    <row r="5339" spans="1:2" x14ac:dyDescent="0.2">
      <c r="A5339" s="1" t="s">
        <v>1954</v>
      </c>
      <c r="B5339" s="1" t="str">
        <f ca="1">IFERROR(__xludf.DUMFUNCTION("GOOGLETRANSLATE(A5501,""id"",""en"")"),"trial sis, the city of the district is the detailed info of the  website")</f>
        <v>trial sis, the city of the district is the detailed info of the  website</v>
      </c>
    </row>
    <row r="5340" spans="1:2" x14ac:dyDescent="0.2">
      <c r="A5340" s="1" t="s">
        <v>5510</v>
      </c>
      <c r="B5340" s="1" t="str">
        <f ca="1">IFERROR(__xludf.DUMFUNCTION("GOOGLETRANSLATE(A5502,""id"",""en"")"),"'s severe blunder says sophisticated Blegedes jwkw is funny, it's different, it's different from buying LPG gas using  pertamini wkakalwkwkk")</f>
        <v>'s severe blunder says sophisticated Blegedes jwkw is funny, it's different, it's different from buying LPG gas using  pertamini wkakalwkwkk</v>
      </c>
    </row>
    <row r="5341" spans="1:2" x14ac:dyDescent="0.2">
      <c r="A5341" s="1" t="s">
        <v>5511</v>
      </c>
      <c r="B5341" s="1" t="str">
        <f ca="1">IFERROR(__xludf.DUMFUNCTION("GOOGLETRANSLATE(A5503,""id"",""en"")"),"PT  Patra Niaga Mandatory Community Buy List of Pertalite Solar July Community List of Digital  Applications  Infogen FM Gen FMSBY  Pertalite")</f>
        <v>PT  Patra Niaga Mandatory Community Buy List of Pertalite Solar July Community List of Digital  Applications  Infogen FM Gen FMSBY  Pertalite</v>
      </c>
    </row>
    <row r="5342" spans="1:2" x14ac:dyDescent="0.2">
      <c r="A5342" s="1" t="s">
        <v>1955</v>
      </c>
      <c r="B5342" s="1" t="str">
        <f ca="1">IFERROR(__xludf.DUMFUNCTION("GOOGLETRANSLATE(A5504,""id"",""en"")"),"Install because of the blessings of 's blessings")</f>
        <v>Install because of the blessings of 's blessings</v>
      </c>
    </row>
    <row r="5343" spans="1:2" x14ac:dyDescent="0.2">
      <c r="A5343" s="1" t="s">
        <v>656</v>
      </c>
      <c r="B5343" s="1" t="str">
        <f ca="1">IFERROR(__xludf.DUMFUNCTION("GOOGLETRANSLATE(A5505,""id"",""en"")"),"try to listen to the people's restless")</f>
        <v>try to listen to the people's restless</v>
      </c>
    </row>
    <row r="5344" spans="1:2" x14ac:dyDescent="0.2">
      <c r="A5344" s="1" t="s">
        <v>5512</v>
      </c>
      <c r="B5344" s="1" t="str">
        <f ca="1">IFERROR(__xludf.DUMFUNCTION("GOOGLETRANSLATE(A5506,""id"",""en"")"),"complicated wkwkwk open  ")</f>
        <v xml:space="preserve">complicated wkwkwk open  </v>
      </c>
    </row>
    <row r="5345" spans="1:2" x14ac:dyDescent="0.2">
      <c r="A5345" s="1" t="s">
        <v>1017</v>
      </c>
      <c r="B5345" s="1" t="str">
        <f ca="1">IFERROR(__xludf.DUMFUNCTION("GOOGLETRANSLATE(A5507,""id"",""en"")"),"Boyfriend Year Can't Guard Sitting 's Chairs")</f>
        <v>Boyfriend Year Can't Guard Sitting 's Chairs</v>
      </c>
    </row>
    <row r="5346" spans="1:2" x14ac:dyDescent="0.2">
      <c r="A5346" s="1" t="s">
        <v>5513</v>
      </c>
      <c r="B5346" s="1" t="str">
        <f ca="1">IFERROR(__xludf.DUMFUNCTION("GOOGLETRANSLATE(A5508,""id"",""en"")"),"July  Patra Niaga Trial Trial Buy Pertalite Amp Solar Guna which lists the consumer  system consumer rights Pertalite amp Solar for Beritasonora")</f>
        <v>July  Patra Niaga Trial Trial Buy Pertalite Amp Solar Guna which lists the consumer  system consumer rights Pertalite amp Solar for Beritasonora</v>
      </c>
    </row>
    <row r="5347" spans="1:2" x14ac:dyDescent="0.2">
      <c r="A5347" s="1" t="s">
        <v>5514</v>
      </c>
      <c r="B5347" s="1" t="str">
        <f ca="1">IFERROR(__xludf.DUMFUNCTION("GOOGLETRANSLATE(A5509,""id"",""en"")"),"Family Use Pertamax Good Also 's Steps to Use   Good Community No People Bring Jurigen Buy Pertalite Sasar Full Supporting Disconnect Smart")</f>
        <v>Family Use Pertamax Good Also 's Steps to Use   Good Community No People Bring Jurigen Buy Pertalite Sasar Full Supporting Disconnect Smart</v>
      </c>
    </row>
    <row r="5348" spans="1:2" x14ac:dyDescent="0.2">
      <c r="A5348" s="1" t="s">
        <v>5515</v>
      </c>
      <c r="B5348" s="1" t="str">
        <f ca="1">IFERROR(__xludf.DUMFUNCTION("GOOGLETRANSLATE(A5510,""id"",""en"")"),"Forward Indonesian people to buy items need the main using cooking oil application using solar protection care using   business command to find a strange solution ne to eat warteg using the  warteg application")</f>
        <v>Forward Indonesian people to buy items need the main using cooking oil application using solar protection care using   business command to find a strange solution ne to eat warteg using the  warteg application</v>
      </c>
    </row>
    <row r="5349" spans="1:2" x14ac:dyDescent="0.2">
      <c r="A5349" s="1" t="s">
        <v>657</v>
      </c>
      <c r="B5349" s="1" t="str">
        <f ca="1">IFERROR(__xludf.DUMFUNCTION("GOOGLETRANSLATE(A5511,""id"",""en"")"),"Consistent City Main Alus Name Let Market Slide Queuing Pertalite Pertamax Anabel Analysis Gembel")</f>
        <v>Consistent City Main Alus Name Let Market Slide Queuing Pertalite Pertamax Anabel Analysis Gembel</v>
      </c>
    </row>
    <row r="5350" spans="1:2" x14ac:dyDescent="0.2">
      <c r="A5350" s="1" t="s">
        <v>1956</v>
      </c>
      <c r="B5350" s="1" t="str">
        <f ca="1">IFERROR(__xludf.DUMFUNCTION("GOOGLETRANSLATE(A5512,""id"",""en"")")," which is worthy")</f>
        <v xml:space="preserve"> which is worthy</v>
      </c>
    </row>
    <row r="5351" spans="1:2" x14ac:dyDescent="0.2">
      <c r="A5351" s="1" t="s">
        <v>5516</v>
      </c>
      <c r="B5351" s="1" t="str">
        <f ca="1">IFERROR(__xludf.DUMFUNCTION("GOOGLETRANSLATE(A5513,""id"",""en"")"),"It's just a fake, don't use   org playing the cellphone when I put it in the bag when I got the bag when I was the contents")</f>
        <v>It's just a fake, don't use   org playing the cellphone when I put it in the bag when I got the bag when I was the contents</v>
      </c>
    </row>
    <row r="5352" spans="1:2" x14ac:dyDescent="0.2">
      <c r="A5352" s="1" t="s">
        <v>1957</v>
      </c>
      <c r="B5352" s="1" t="str">
        <f ca="1">IFERROR(__xludf.DUMFUNCTION("GOOGLETRANSLATE(A5514,""id"",""en"")"),"Minister of ESDM Cooperated PLN  Fast Conversion of Electric Motorbike Motors")</f>
        <v>Minister of ESDM Cooperated PLN  Fast Conversion of Electric Motorbike Motors</v>
      </c>
    </row>
    <row r="5353" spans="1:2" x14ac:dyDescent="0.2">
      <c r="A5353" s="1" t="s">
        <v>658</v>
      </c>
      <c r="B5353" s="1" t="str">
        <f ca="1">IFERROR(__xludf.DUMFUNCTION("GOOGLETRANSLATE(A5515,""id"",""en"")"),"Javanese fencing subholding upstream canang drill well exploration well gqx offshore sea jawa publishertory")</f>
        <v>Javanese fencing subholding upstream canang drill well exploration well gqx offshore sea jawa publishertory</v>
      </c>
    </row>
    <row r="5354" spans="1:2" x14ac:dyDescent="0.2">
      <c r="A5354" s="1" t="s">
        <v>659</v>
      </c>
      <c r="B5354" s="1" t="str">
        <f ca="1">IFERROR(__xludf.DUMFUNCTION("GOOGLETRANSLATE(A5516,""id"",""en"")"),"already right the card eh was said to be funny")</f>
        <v>already right the card eh was said to be funny</v>
      </c>
    </row>
    <row r="5355" spans="1:2" x14ac:dyDescent="0.2">
      <c r="A5355" s="1" t="s">
        <v>1958</v>
      </c>
      <c r="B5355" s="1" t="str">
        <f ca="1">IFERROR(__xludf.DUMFUNCTION("GOOGLETRANSLATE(A5517,""id"",""en"")"),"'s best friend")</f>
        <v>'s best friend</v>
      </c>
    </row>
    <row r="5356" spans="1:2" x14ac:dyDescent="0.2">
      <c r="A5356" s="1" t="s">
        <v>5517</v>
      </c>
      <c r="B5356" s="1" t="str">
        <f ca="1">IFERROR(__xludf.DUMFUNCTION("GOOGLETRANSLATE(A5518,""id"",""en"")"),"mba read the news, read the location where you sell,   doesn't use, immediately talking to complete sis, bro")</f>
        <v>mba read the news, read the location where you sell,   doesn't use, immediately talking to complete sis, bro</v>
      </c>
    </row>
    <row r="5357" spans="1:2" x14ac:dyDescent="0.2">
      <c r="A5357" s="1" t="s">
        <v>5518</v>
      </c>
      <c r="B5357" s="1" t="str">
        <f ca="1">IFERROR(__xludf.DUMFUNCTION("GOOGLETRANSLATE(A5519,""id"",""en"")"),"Exciting see the pros and cons of  ")</f>
        <v xml:space="preserve">Exciting see the pros and cons of  </v>
      </c>
    </row>
    <row r="5358" spans="1:2" x14ac:dyDescent="0.2">
      <c r="A5358" s="1" t="s">
        <v>1959</v>
      </c>
      <c r="B5358" s="1" t="str">
        <f ca="1">IFERROR(__xludf.DUMFUNCTION("GOOGLETRANSLATE(A5520,""id"",""en"")")," Plan Testing City City Trial of TaudarikpePripedia Province")</f>
        <v xml:space="preserve"> Plan Testing City City Trial of TaudarikpePripedia Province</v>
      </c>
    </row>
    <row r="5359" spans="1:2" x14ac:dyDescent="0.2">
      <c r="A5359" s="1" t="s">
        <v>1960</v>
      </c>
      <c r="B5359" s="1" t="str">
        <f ca="1">IFERROR(__xludf.DUMFUNCTION("GOOGLETRANSLATE(A5521,""id"",""en"")"),"Those who use the MMG SPBU application for the pure co -co -coat ")</f>
        <v xml:space="preserve">Those who use the MMG SPBU application for the pure co -co -coat </v>
      </c>
    </row>
    <row r="5360" spans="1:2" x14ac:dyDescent="0.2">
      <c r="A5360" s="1" t="s">
        <v>5519</v>
      </c>
      <c r="B5360" s="1" t="str">
        <f ca="1">IFERROR(__xludf.DUMFUNCTION("GOOGLETRANSLATE(A5522,""id"",""en"")"),"It's true that the person who made it cheating due to making a gas station queue, hopefully be aware of  with the application of pertamine preventing the pile of the person")</f>
        <v>It's true that the person who made it cheating due to making a gas station queue, hopefully be aware of  with the application of pertamine preventing the pile of the person</v>
      </c>
    </row>
    <row r="5361" spans="1:2" x14ac:dyDescent="0.2">
      <c r="A5361" s="1" t="s">
        <v>5133</v>
      </c>
      <c r="B5361" s="1" t="str">
        <f ca="1">IFERROR(__xludf.DUMFUNCTION("GOOGLETRANSLATE(A5523,""id"",""en"")"),"  Pertamax Bright Gas joined the    Giveaway Giveaway")</f>
        <v xml:space="preserve">  Pertamax Bright Gas joined the    Giveaway Giveaway</v>
      </c>
    </row>
    <row r="5362" spans="1:2" x14ac:dyDescent="0.2">
      <c r="A5362" s="1" t="s">
        <v>660</v>
      </c>
      <c r="B5362" s="1" t="str">
        <f ca="1">IFERROR(__xludf.DUMFUNCTION("GOOGLETRANSLATE(A5524,""id"",""en"")"),"Pertalite is hard not to use Pertamax, Pertamax is good")</f>
        <v>Pertalite is hard not to use Pertamax, Pertamax is good</v>
      </c>
    </row>
    <row r="5363" spans="1:2" x14ac:dyDescent="0.2">
      <c r="A5363" s="1" t="s">
        <v>661</v>
      </c>
      <c r="B5363" s="1" t="str">
        <f ca="1">IFERROR(__xludf.DUMFUNCTION("GOOGLETRANSLATE(A5526,""id"",""en"")"),"Bodo queued the task for the gas station to chat or not")</f>
        <v>Bodo queued the task for the gas station to chat or not</v>
      </c>
    </row>
    <row r="5364" spans="1:2" x14ac:dyDescent="0.2">
      <c r="A5364" s="1" t="s">
        <v>662</v>
      </c>
      <c r="B5364" s="1" t="str">
        <f ca="1">IFERROR(__xludf.DUMFUNCTION("GOOGLETRANSLATE(A5527,""id"",""en"")"),"one of the romantic Korean drama ongoing Drakorindo Link Eat Love Kill Indonesian Subtitles Epi")</f>
        <v>one of the romantic Korean drama ongoing Drakorindo Link Eat Love Kill Indonesian Subtitles Epi</v>
      </c>
    </row>
    <row r="5365" spans="1:2" x14ac:dyDescent="0.2">
      <c r="A5365" s="1" t="s">
        <v>663</v>
      </c>
      <c r="B5365" s="1" t="str">
        <f ca="1">IFERROR(__xludf.DUMFUNCTION("GOOGLETRANSLATE(A5528,""id"",""en"")"),"why why why")</f>
        <v>why why why</v>
      </c>
    </row>
    <row r="5366" spans="1:2" x14ac:dyDescent="0.2">
      <c r="A5366" s="1" t="s">
        <v>1961</v>
      </c>
      <c r="B5366" s="1" t="str">
        <f ca="1">IFERROR(__xludf.DUMFUNCTION("GOOGLETRANSLATE(A5529,""id"",""en"")"),"just confused if  loses what is difficult to realize the cellphone with an application that is as cool as a business application")</f>
        <v>just confused if  loses what is difficult to realize the cellphone with an application that is as cool as a business application</v>
      </c>
    </row>
    <row r="5367" spans="1:2" x14ac:dyDescent="0.2">
      <c r="A5367" s="1" t="s">
        <v>664</v>
      </c>
      <c r="B5367" s="1" t="str">
        <f ca="1">IFERROR(__xludf.DUMFUNCTION("GOOGLETRANSLATE(A5530,""id"",""en"")"),"SNGT SUCCESS BUMN Men the BUMN which can be BUMN so the free campaign tool is fortunately I rarely really ATM so it doesn't see its face")</f>
        <v>SNGT SUCCESS BUMN Men the BUMN which can be BUMN so the free campaign tool is fortunately I rarely really ATM so it doesn't see its face</v>
      </c>
    </row>
    <row r="5368" spans="1:2" x14ac:dyDescent="0.2">
      <c r="A5368" s="1" t="s">
        <v>1962</v>
      </c>
      <c r="B5368" s="1" t="str">
        <f ca="1">IFERROR(__xludf.DUMFUNCTION("GOOGLETRANSLATE(A5531,""id"",""en"")"),"Promise to Decrease Price of Migor Realization Not Promise People of the Republic of NKRI You know the world leads the world or JKWI promise to give up the Indonesian kaga more advanced from Malaysia  Aje loses Petronas Ngibul Aje Lu Pade Pade Pa"&amp;"de")</f>
        <v>Promise to Decrease Price of Migor Realization Not Promise People of the Republic of NKRI You know the world leads the world or JKWI promise to give up the Indonesian kaga more advanced from Malaysia  Aje loses Petronas Ngibul Aje Lu Pade Pade Pade</v>
      </c>
    </row>
    <row r="5369" spans="1:2" x14ac:dyDescent="0.2">
      <c r="A5369" s="1" t="s">
        <v>1963</v>
      </c>
      <c r="B5369" s="1" t="str">
        <f ca="1">IFERROR(__xludf.DUMFUNCTION("GOOGLETRANSLATE(A5532,""id"",""en"")")," SPBU Motor transportation just a private car don't enter  gas station")</f>
        <v xml:space="preserve"> SPBU Motor transportation just a private car don't enter  gas station</v>
      </c>
    </row>
    <row r="5370" spans="1:2" x14ac:dyDescent="0.2">
      <c r="A5370" s="1" t="s">
        <v>665</v>
      </c>
      <c r="B5370" s="1" t="str">
        <f ca="1">IFERROR(__xludf.DUMFUNCTION("GOOGLETRANSLATE(A5533,""id"",""en"")"),"Dizzy Mikiri Rights of Pertalite Subsidies Proposal of Cars Mandatory Non -Subsidized Motorcycle Transport")</f>
        <v>Dizzy Mikiri Rights of Pertalite Subsidies Proposal of Cars Mandatory Non -Subsidized Motorcycle Transport</v>
      </c>
    </row>
    <row r="5371" spans="1:2" x14ac:dyDescent="0.2">
      <c r="A5371" s="1" t="s">
        <v>5520</v>
      </c>
      <c r="B5371" s="1" t="str">
        <f ca="1">IFERROR(__xludf.DUMFUNCTION("GOOGLETRANSLATE(A5534,""id"",""en"")"),"Used to be user of   App Long before people used it but it was very often right at the refueling point for reasons it works the app.")</f>
        <v>Used to be user of   App Long before people used it but it was very often right at the refueling point for reasons it works the app.</v>
      </c>
    </row>
    <row r="5372" spans="1:2" x14ac:dyDescent="0.2">
      <c r="A5372" s="1" t="s">
        <v>666</v>
      </c>
      <c r="B5372" s="1" t="str">
        <f ca="1">IFERROR(__xludf.DUMFUNCTION("GOOGLETRANSLATE(A5535,""id"",""en"")"),"the news mentioning it using the list application via the web")</f>
        <v>the news mentioning it using the list application via the web</v>
      </c>
    </row>
    <row r="5373" spans="1:2" x14ac:dyDescent="0.2">
      <c r="A5373" s="1" t="s">
        <v>1964</v>
      </c>
      <c r="B5373" s="1" t="str">
        <f ca="1">IFERROR(__xludf.DUMFUNCTION("GOOGLETRANSLATE(A5536,""id"",""en"")"),"One of the romantic Korean drama Ongoing Drakorindo Link Eat Love Kill Indonesian Subtitles Episode of  SPBU SPBU Chico Indra Bekti")</f>
        <v>One of the romantic Korean drama Ongoing Drakorindo Link Eat Love Kill Indonesian Subtitles Episode of  SPBU SPBU Chico Indra Bekti</v>
      </c>
    </row>
    <row r="5374" spans="1:2" x14ac:dyDescent="0.2">
      <c r="A5374" s="1" t="s">
        <v>1965</v>
      </c>
      <c r="B5374" s="1" t="str">
        <f ca="1">IFERROR(__xludf.DUMFUNCTION("GOOGLETRANSLATE(A5537,""id"",""en"")"),"Listen to 's news, thinking, it's wise")</f>
        <v>Listen to 's news, thinking, it's wise</v>
      </c>
    </row>
    <row r="5375" spans="1:2" x14ac:dyDescent="0.2">
      <c r="A5375" s="1" t="s">
        <v>5521</v>
      </c>
      <c r="B5375" s="1" t="str">
        <f ca="1">IFERROR(__xludf.DUMFUNCTION("GOOGLETRANSLATE(A5538,""id"",""en"")"),"kurleb stngah th ahead of miles mandatory commands for prime cards nik nik kurleb stngah th ahead of miles must buy migor using PL nik pertalite using   data")</f>
        <v>kurleb stngah th ahead of miles mandatory commands for prime cards nik nik kurleb stngah th ahead of miles must buy migor using PL nik pertalite using   data</v>
      </c>
    </row>
    <row r="5376" spans="1:2" x14ac:dyDescent="0.2">
      <c r="A5376" s="1" t="s">
        <v>5522</v>
      </c>
      <c r="B5376" s="1" t="str">
        <f ca="1">IFERROR(__xludf.DUMFUNCTION("GOOGLETRANSLATE(A5539,""id"",""en"")"),"transaction using   doesn't make a gas station is explosive, adjust the cellphone")</f>
        <v>transaction using   doesn't make a gas station is explosive, adjust the cellphone</v>
      </c>
    </row>
    <row r="5377" spans="1:2" x14ac:dyDescent="0.2">
      <c r="A5377" s="1" t="s">
        <v>667</v>
      </c>
      <c r="B5377" s="1" t="str">
        <f ca="1">IFERROR(__xludf.DUMFUNCTION("GOOGLETRANSLATE(A5541,""id"",""en"")"),"Just tell and just work, naekin the price of the image of reak loss loss complicated the people")</f>
        <v>Just tell and just work, naekin the price of the image of reak loss loss complicated the people</v>
      </c>
    </row>
    <row r="5378" spans="1:2" x14ac:dyDescent="0.2">
      <c r="A5378" s="1" t="s">
        <v>1966</v>
      </c>
      <c r="B5378" s="1" t="str">
        <f ca="1">IFERROR(__xludf.DUMFUNCTION("GOOGLETRANSLATE(A5542,""id"",""en"")"),"Fill in the BBM SKALI contents of the Indonesian Great Internet Data Package, just throw away the taik taik taik  pke qr code nanggung")</f>
        <v>Fill in the BBM SKALI contents of the Indonesian Great Internet Data Package, just throw away the taik taik taik  pke qr code nanggung</v>
      </c>
    </row>
    <row r="5379" spans="1:2" x14ac:dyDescent="0.2">
      <c r="A5379" s="1" t="s">
        <v>1967</v>
      </c>
      <c r="B5379" s="1" t="str">
        <f ca="1">IFERROR(__xludf.DUMFUNCTION("GOOGLETRANSLATE(A5543,""id"",""en"")")," Bright Official Hooks Pilling Cilacap Central Central Java Oh ")</f>
        <v xml:space="preserve"> Bright Official Hooks Pilling Cilacap Central Central Java Oh </v>
      </c>
    </row>
    <row r="5380" spans="1:2" x14ac:dyDescent="0.2">
      <c r="A5380" s="1" t="s">
        <v>5523</v>
      </c>
      <c r="B5380" s="1" t="str">
        <f ca="1">IFERROR(__xludf.DUMFUNCTION("GOOGLETRANSLATE(A5544,""id"",""en"")"),"Confidentially BNM a little demonstration has been troublesome to   bbm using bangt just stayed for Konoha Negeri")</f>
        <v>Confidentially BNM a little demonstration has been troublesome to   bbm using bangt just stayed for Konoha Negeri</v>
      </c>
    </row>
    <row r="5381" spans="1:2" x14ac:dyDescent="0.2">
      <c r="A5381" s="1" t="s">
        <v>5524</v>
      </c>
      <c r="B5381" s="1" t="str">
        <f ca="1">IFERROR(__xludf.DUMFUNCTION("GOOGLETRANSLATE(A5545,""id"",""en"")"),"Pay attention to buying fuel Pertalite Solar List  July  Solar SPBU SPBU ")</f>
        <v xml:space="preserve">Pay attention to buying fuel Pertalite Solar List  July  Solar SPBU SPBU </v>
      </c>
    </row>
    <row r="5382" spans="1:2" x14ac:dyDescent="0.2">
      <c r="A5382" s="1" t="s">
        <v>5525</v>
      </c>
      <c r="B5382" s="1" t="str">
        <f ca="1">IFERROR(__xludf.DUMFUNCTION("GOOGLETRANSLATE(A5546,""id"",""en"")"),"Pertalite Biosolar consumers are required to use   July DPR RI")</f>
        <v>Pertalite Biosolar consumers are required to use   July DPR RI</v>
      </c>
    </row>
    <row r="5383" spans="1:2" x14ac:dyDescent="0.2">
      <c r="A5383" s="1" t="s">
        <v>1968</v>
      </c>
      <c r="B5383" s="1" t="str">
        <f ca="1">IFERROR(__xludf.DUMFUNCTION("GOOGLETRANSLATE(A5547,""id"",""en"")"),"Gosah is strange,  if it minimizes consumers who are bbm rights to see the Gosah Kendara plate, making a complicated gas station that is septik, so that it is to fill in the Pertamax already queued")</f>
        <v>Gosah is strange,  if it minimizes consumers who are bbm rights to see the Gosah Kendara plate, making a complicated gas station that is septik, so that it is to fill in the Pertamax already queued</v>
      </c>
    </row>
    <row r="5384" spans="1:2" x14ac:dyDescent="0.2">
      <c r="A5384" s="1" t="s">
        <v>5526</v>
      </c>
      <c r="B5384" s="1" t="str">
        <f ca="1">IFERROR(__xludf.DUMFUNCTION("GOOGLETRANSLATE(A5548,""id"",""en"")"),"May you can get in here in Indonesia and try to use  to refill your car gasoline and you will be found something amazing, ma'am already installing  blum")</f>
        <v>May you can get in here in Indonesia and try to use  to refill your car gasoline and you will be found something amazing, ma'am already installing  blum</v>
      </c>
    </row>
    <row r="5385" spans="1:2" x14ac:dyDescent="0.2">
      <c r="A5385" s="1" t="s">
        <v>1969</v>
      </c>
      <c r="B5385" s="1" t="str">
        <f ca="1">IFERROR(__xludf.DUMFUNCTION("GOOGLETRANSLATE(A5549,""id"",""en"")"),"Many  gas stations in the regency, the district, the printout function is rare, which is right")</f>
        <v>Many  gas stations in the regency, the district, the printout function is rare, which is right</v>
      </c>
    </row>
    <row r="5386" spans="1:2" x14ac:dyDescent="0.2">
      <c r="A5386" s="1" t="s">
        <v>668</v>
      </c>
      <c r="B5386" s="1" t="str">
        <f ca="1">IFERROR(__xludf.DUMFUNCTION("GOOGLETRANSLATE(A5550,""id"",""en"")"),"Employees Smiles Like Ms. Mbak Minimarket Cashier Suitable QR Code Buy Hot Gas Station Queuing Solid Facing Kendara Terbat Bring Gawai After Battery")</f>
        <v>Employees Smiles Like Ms. Mbak Minimarket Cashier Suitable QR Code Buy Hot Gas Station Queuing Solid Facing Kendara Terbat Bring Gawai After Battery</v>
      </c>
    </row>
    <row r="5387" spans="1:2" x14ac:dyDescent="0.2">
      <c r="A5387" s="1" t="s">
        <v>1970</v>
      </c>
      <c r="B5387" s="1" t="str">
        <f ca="1">IFERROR(__xludf.DUMFUNCTION("GOOGLETRANSLATE(A5551,""id"",""en"")")," office is okay guys the application is really quiet that downloads the idea that downloads what if you make features that benefit the community skip the wrong set makes it difficult for people to force it to make acc")</f>
        <v xml:space="preserve"> office is okay guys the application is really quiet that downloads the idea that downloads what if you make features that benefit the community skip the wrong set makes it difficult for people to force it to make acc</v>
      </c>
    </row>
    <row r="5388" spans="1:2" x14ac:dyDescent="0.2">
      <c r="A5388" s="1" t="s">
        <v>1971</v>
      </c>
      <c r="B5388" s="1" t="str">
        <f ca="1">IFERROR(__xludf.DUMFUNCTION("GOOGLETRANSLATE(A5552,""id"",""en"")")," forbids Use of HP SPBU Area BUY PERTALITE SOLAR APPLICATION REGISTER")</f>
        <v xml:space="preserve"> forbids Use of HP SPBU Area BUY PERTALITE SOLAR APPLICATION REGISTER</v>
      </c>
    </row>
    <row r="5389" spans="1:2" x14ac:dyDescent="0.2">
      <c r="A5389" s="1" t="s">
        <v>5527</v>
      </c>
      <c r="B5389" s="1" t="str">
        <f ca="1">IFERROR(__xludf.DUMFUNCTION("GOOGLETRANSLATE(A5553,""id"",""en"")"),"Forced   for the people to test the data leaked PKAI HP number that entered the hearts of money missing")</f>
        <v>Forced   for the people to test the data leaked PKAI HP number that entered the hearts of money missing</v>
      </c>
    </row>
    <row r="5390" spans="1:2" x14ac:dyDescent="0.2">
      <c r="A5390" s="1" t="s">
        <v>5528</v>
      </c>
      <c r="B5390" s="1" t="str">
        <f ca="1">IFERROR(__xludf.DUMFUNCTION("GOOGLETRANSLATE(A5554,""id"",""en"")"),"strange sis, fill in the first use, pay for  , fill in a different gas station, the task of paying for   is not if you ask forbidding the phone paying, using , bro, don't know the base too")</f>
        <v>strange sis, fill in the first use, pay for  , fill in a different gas station, the task of paying for   is not if you ask forbidding the phone paying, using , bro, don't know the base too</v>
      </c>
    </row>
    <row r="5391" spans="1:2" x14ac:dyDescent="0.2">
      <c r="A5391" s="1" t="s">
        <v>1972</v>
      </c>
      <c r="B5391" s="1" t="str">
        <f ca="1">IFERROR(__xludf.DUMFUNCTION("GOOGLETRANSLATE(A5555,""id"",""en"")"),"Rain Rain Eating Noodles Its Another Level Delicious Duna Solar Doctor  Lontong Reply")</f>
        <v>Rain Rain Eating Noodles Its Another Level Delicious Duna Solar Doctor  Lontong Reply</v>
      </c>
    </row>
    <row r="5392" spans="1:2" x14ac:dyDescent="0.2">
      <c r="A5392" s="1" t="s">
        <v>5529</v>
      </c>
      <c r="B5392" s="1" t="str">
        <f ca="1">IFERROR(__xludf.DUMFUNCTION("GOOGLETRANSLATE(A5556,""id"",""en"")"),"In the applicable app buying, the mandatory pertamax of the city of the city of the city, the city")</f>
        <v>In the applicable app buying, the mandatory pertamax of the city of the city of the city, the city</v>
      </c>
    </row>
    <row r="5393" spans="1:2" x14ac:dyDescent="0.2">
      <c r="A5393" s="1" t="s">
        <v>5530</v>
      </c>
      <c r="B5393" s="1" t="str">
        <f ca="1">IFERROR(__xludf.DUMFUNCTION("GOOGLETRANSLATE(A5557,""id"",""en"")")," is tight requirements for buying fuel Pertalite Solar, one of  to buy  fuel")</f>
        <v xml:space="preserve"> is tight requirements for buying fuel Pertalite Solar, one of  to buy  fuel</v>
      </c>
    </row>
    <row r="5394" spans="1:2" x14ac:dyDescent="0.2">
      <c r="A5394" s="1" t="s">
        <v>669</v>
      </c>
      <c r="B5394" s="1" t="str">
        <f ca="1">IFERROR(__xludf.DUMFUNCTION("GOOGLETRANSLATE(A5558,""id"",""en"")"),"pdhl signposts that are worthy of not worthy")</f>
        <v>pdhl signposts that are worthy of not worthy</v>
      </c>
    </row>
    <row r="5395" spans="1:2" x14ac:dyDescent="0.2">
      <c r="A5395" s="1" t="s">
        <v>1973</v>
      </c>
      <c r="B5395" s="1" t="str">
        <f ca="1">IFERROR(__xludf.DUMFUNCTION("GOOGLETRANSLATE(A5559,""id"",""en"")"),"'s Buzzer Friend")</f>
        <v>'s Buzzer Friend</v>
      </c>
    </row>
    <row r="5396" spans="1:2" x14ac:dyDescent="0.2">
      <c r="A5396" s="1" t="s">
        <v>1974</v>
      </c>
      <c r="B5396" s="1" t="str">
        <f ca="1">IFERROR(__xludf.DUMFUNCTION("GOOGLETRANSLATE(A5560,""id"",""en"")"),"Korean snacks jakel anjir name pdhall sell ")</f>
        <v xml:space="preserve">Korean snacks jakel anjir name pdhall sell </v>
      </c>
    </row>
    <row r="5397" spans="1:2" x14ac:dyDescent="0.2">
      <c r="A5397" s="1" t="s">
        <v>5531</v>
      </c>
      <c r="B5397" s="1" t="str">
        <f ca="1">IFERROR(__xludf.DUMFUNCTION("GOOGLETRANSLATE(A5561,""id"",""en"")"),"don't use   the engine is not error")</f>
        <v>don't use   the engine is not error</v>
      </c>
    </row>
    <row r="5398" spans="1:2" x14ac:dyDescent="0.2">
      <c r="A5398" s="1" t="s">
        <v>1975</v>
      </c>
      <c r="B5398" s="1" t="str">
        <f ca="1">IFERROR(__xludf.DUMFUNCTION("GOOGLETRANSLATE(A5562,""id"",""en"")"),"if  is just a super crowded shell")</f>
        <v>if  is just a super crowded shell</v>
      </c>
    </row>
    <row r="5399" spans="1:2" x14ac:dyDescent="0.2">
      <c r="A5399" s="1" t="s">
        <v>670</v>
      </c>
      <c r="B5399" s="1" t="str">
        <f ca="1">IFERROR(__xludf.DUMFUNCTION("GOOGLETRANSLATE(A5563,""id"",""en"")"),"Gin List")</f>
        <v>Gin List</v>
      </c>
    </row>
    <row r="5400" spans="1:2" x14ac:dyDescent="0.2">
      <c r="A5400" s="1" t="s">
        <v>670</v>
      </c>
      <c r="B5400" s="1" t="str">
        <f ca="1">IFERROR(__xludf.DUMFUNCTION("GOOGLETRANSLATE(A5564,""id"",""en"")"),"Gin List")</f>
        <v>Gin List</v>
      </c>
    </row>
    <row r="5401" spans="1:2" x14ac:dyDescent="0.2">
      <c r="A5401" s="1" t="s">
        <v>670</v>
      </c>
      <c r="B5401" s="1" t="str">
        <f ca="1">IFERROR(__xludf.DUMFUNCTION("GOOGLETRANSLATE(A5565,""id"",""en"")"),"Gin List")</f>
        <v>Gin List</v>
      </c>
    </row>
    <row r="5402" spans="1:2" x14ac:dyDescent="0.2">
      <c r="A5402" s="1" t="s">
        <v>5532</v>
      </c>
      <c r="B5402" s="1" t="str">
        <f ca="1">IFERROR(__xludf.DUMFUNCTION("GOOGLETRANSLATE(A5566,""id"",""en"")")," President Director Patra Niaga Alfian Nasution wisely out of the BBM quota remains quite Pertalite Solar ")</f>
        <v xml:space="preserve"> President Director Patra Niaga Alfian Nasution wisely out of the BBM quota remains quite Pertalite Solar </v>
      </c>
    </row>
    <row r="5403" spans="1:2" x14ac:dyDescent="0.2">
      <c r="A5403" s="1" t="s">
        <v>1976</v>
      </c>
      <c r="B5403" s="1" t="str">
        <f ca="1">IFERROR(__xludf.DUMFUNCTION("GOOGLETRANSLATE(A5567,""id"",""en"")")," and Pertamini")</f>
        <v xml:space="preserve"> and Pertamini</v>
      </c>
    </row>
    <row r="5404" spans="1:2" x14ac:dyDescent="0.2">
      <c r="A5404" s="1" t="s">
        <v>671</v>
      </c>
      <c r="B5404" s="1" t="str">
        <f ca="1">IFERROR(__xludf.DUMFUNCTION("GOOGLETRANSLATE(A5568,""id"",""en"")"),"Hook Pertalite Cipta System that connects with Data Kendara Cipta System Scanning Fill Automatic BBM Full Type of Kendara Full Criteria Full Alarm Regulates User")</f>
        <v>Hook Pertalite Cipta System that connects with Data Kendara Cipta System Scanning Fill Automatic BBM Full Type of Kendara Full Criteria Full Alarm Regulates User</v>
      </c>
    </row>
    <row r="5405" spans="1:2" x14ac:dyDescent="0.2">
      <c r="A5405" s="1" t="s">
        <v>5533</v>
      </c>
      <c r="B5405" s="1" t="str">
        <f ca="1">IFERROR(__xludf.DUMFUNCTION("GOOGLETRANSLATE(A5569,""id"",""en"")"),"because  motorbike borrowed  cellphone borrowed because I borrowed  nation's victim's motorbike")</f>
        <v>because  motorbike borrowed  cellphone borrowed because I borrowed  nation's victim's motorbike</v>
      </c>
    </row>
    <row r="5406" spans="1:2" x14ac:dyDescent="0.2">
      <c r="A5406" s="1" t="s">
        <v>5534</v>
      </c>
      <c r="B5406" s="1" t="str">
        <f ca="1">IFERROR(__xludf.DUMFUNCTION("GOOGLETRANSLATE(A5570,""id"",""en"")")," List")</f>
        <v xml:space="preserve"> List</v>
      </c>
    </row>
    <row r="5407" spans="1:2" x14ac:dyDescent="0.2">
      <c r="A5407" s="1" t="s">
        <v>5535</v>
      </c>
      <c r="B5407" s="1" t="str">
        <f ca="1">IFERROR(__xludf.DUMFUNCTION("GOOGLETRANSLATE(A5571,""id"",""en"")"),"jogja bang gas station paid via   just don't report, bro")</f>
        <v>jogja bang gas station paid via   just don't report, bro</v>
      </c>
    </row>
    <row r="5408" spans="1:2" x14ac:dyDescent="0.2">
      <c r="A5408" s="1" t="s">
        <v>1977</v>
      </c>
      <c r="B5408" s="1" t="str">
        <f ca="1">IFERROR(__xludf.DUMFUNCTION("GOOGLETRANSLATE(A5572,""id"",""en"")"),"Mother, I raised the  system that already knew that I didn't have the quota for filling in 's complicated gasoline, making the community prosperous, it was difficult and the quota was not a quota")</f>
        <v>Mother, I raised the  system that already knew that I didn't have the quota for filling in 's complicated gasoline, making the community prosperous, it was difficult and the quota was not a quota</v>
      </c>
    </row>
    <row r="5409" spans="1:2" x14ac:dyDescent="0.2">
      <c r="A5409" s="1" t="s">
        <v>5536</v>
      </c>
      <c r="B5409" s="1" t="str">
        <f ca="1">IFERROR(__xludf.DUMFUNCTION("GOOGLETRANSLATE(A5573,""id"",""en"")"),"July PT  Trial Buy Pertalite Solar to List the  Pertalite Solar  System")</f>
        <v>July PT  Trial Buy Pertalite Solar to List the  Pertalite Solar  System</v>
      </c>
    </row>
    <row r="5410" spans="1:2" x14ac:dyDescent="0.2">
      <c r="A5410" s="1" t="s">
        <v>5537</v>
      </c>
      <c r="B5410" s="1" t="str">
        <f ca="1">IFERROR(__xludf.DUMFUNCTION("GOOGLETRANSLATE(A5574,""id"",""en"")"),"Deputy Speaker of the House of Representatives Sufmi Dasco Ahmad  Massif Socialization for the pert application")</f>
        <v>Deputy Speaker of the House of Representatives Sufmi Dasco Ahmad  Massif Socialization for the pert application</v>
      </c>
    </row>
    <row r="5411" spans="1:2" x14ac:dyDescent="0.2">
      <c r="A5411" s="1" t="s">
        <v>5538</v>
      </c>
      <c r="B5411" s="1" t="str">
        <f ca="1">IFERROR(__xludf.DUMFUNCTION("GOOGLETRANSLATE(A5575,""id"",""en"")")," Testing Trial Buy Fuel Fuel Fuel Fuel Type Solar Fuel Using   Https")</f>
        <v xml:space="preserve"> Testing Trial Buy Fuel Fuel Fuel Fuel Type Solar Fuel Using   Https</v>
      </c>
    </row>
    <row r="5412" spans="1:2" x14ac:dyDescent="0.2">
      <c r="A5412" s="1" t="s">
        <v>672</v>
      </c>
      <c r="B5412" s="1" t="str">
        <f ca="1">IFERROR(__xludf.DUMFUNCTION("GOOGLETRANSLATE(A5576,""id"",""en"")"),"Trial the application is ugly login not to list telephone numbers list forgot passwords not get sms reset the password to buy gasoline using the application")</f>
        <v>Trial the application is ugly login not to list telephone numbers list forgot passwords not get sms reset the password to buy gasoline using the application</v>
      </c>
    </row>
    <row r="5413" spans="1:2" x14ac:dyDescent="0.2">
      <c r="A5413" s="1" t="s">
        <v>1978</v>
      </c>
      <c r="B5413" s="1" t="str">
        <f ca="1">IFERROR(__xludf.DUMFUNCTION("GOOGLETRANSLATE(A5577,""id"",""en"")")," teach the material for Gemh, the time of the fyi keri waves")</f>
        <v xml:space="preserve"> teach the material for Gemh, the time of the fyi keri waves</v>
      </c>
    </row>
    <row r="5414" spans="1:2" x14ac:dyDescent="0.2">
      <c r="A5414" s="1" t="s">
        <v>5539</v>
      </c>
      <c r="B5414" s="1" t="str">
        <f ca="1">IFERROR(__xludf.DUMFUNCTION("GOOGLETRANSLATE(A5578,""id"",""en"")"),"walah sampean podo mbek   complicated")</f>
        <v>walah sampean podo mbek   complicated</v>
      </c>
    </row>
    <row r="5415" spans="1:2" x14ac:dyDescent="0.2">
      <c r="A5415" s="1" t="s">
        <v>5540</v>
      </c>
      <c r="B5415" s="1" t="str">
        <f ca="1">IFERROR(__xludf.DUMFUNCTION("GOOGLETRANSLATE(A5579,""id"",""en"")"),"Fill in Pertalite Mandatory  National Pertalite   SPBU")</f>
        <v>Fill in Pertalite Mandatory  National Pertalite   SPBU</v>
      </c>
    </row>
    <row r="5416" spans="1:2" x14ac:dyDescent="0.2">
      <c r="A5416" s="1" t="s">
        <v>5541</v>
      </c>
      <c r="B5416" s="1" t="str">
        <f ca="1">IFERROR(__xludf.DUMFUNCTION("GOOGLETRANSLATE(A5580,""id"",""en"")"),"I hope that Ruben Onsu is soon to recover, Caca Marshanda Yupi Holywings Night Afc Cup Origi League Aice Change Prosecutor Artemis Dago Ajax Qodari Turu Cambodia PSM Makassar Puti Kw   Indra Bekti Doctor Lisa")</f>
        <v>I hope that Ruben Onsu is soon to recover, Caca Marshanda Yupi Holywings Night Afc Cup Origi League Aice Change Prosecutor Artemis Dago Ajax Qodari Turu Cambodia PSM Makassar Puti Kw   Indra Bekti Doctor Lisa</v>
      </c>
    </row>
    <row r="5417" spans="1:2" x14ac:dyDescent="0.2">
      <c r="A5417" s="1" t="s">
        <v>1979</v>
      </c>
      <c r="B5417" s="1" t="str">
        <f ca="1">IFERROR(__xludf.DUMFUNCTION("GOOGLETRANSLATE(A5581,""id"",""en"")")," officials don't understand the concept of digitalization khh")</f>
        <v xml:space="preserve"> officials don't understand the concept of digitalization khh</v>
      </c>
    </row>
    <row r="5418" spans="1:2" x14ac:dyDescent="0.2">
      <c r="A5418" s="1" t="s">
        <v>673</v>
      </c>
      <c r="B5418" s="1" t="str">
        <f ca="1">IFERROR(__xludf.DUMFUNCTION("GOOGLETRANSLATE(A5582,""id"",""en"")"),"What is the fate of people with Digitalization Natural Bomb Gadgets")</f>
        <v>What is the fate of people with Digitalization Natural Bomb Gadgets</v>
      </c>
    </row>
    <row r="5419" spans="1:2" x14ac:dyDescent="0.2">
      <c r="A5419" s="1" t="s">
        <v>1980</v>
      </c>
      <c r="B5419" s="1" t="str">
        <f ca="1">IFERROR(__xludf.DUMFUNCTION("GOOGLETRANSLATE(A5583,""id"",""en"")")," Mandalika Sag Team Bo Bendsneyder GP Congratul")</f>
        <v xml:space="preserve"> Mandalika Sag Team Bo Bendsneyder GP Congratul</v>
      </c>
    </row>
    <row r="5420" spans="1:2" x14ac:dyDescent="0.2">
      <c r="A5420" s="1" t="s">
        <v>5542</v>
      </c>
      <c r="B5420" s="1" t="str">
        <f ca="1">IFERROR(__xludf.DUMFUNCTION("GOOGLETRANSLATE(A5584,""id"",""en"")"),"Buy Pertalite Using   Buy Cooking Oil Using Cares Careful Protection Photocopy KTP Funny Not")</f>
        <v>Buy Pertalite Using   Buy Cooking Oil Using Cares Careful Protection Photocopy KTP Funny Not</v>
      </c>
    </row>
    <row r="5421" spans="1:2" x14ac:dyDescent="0.2">
      <c r="A5421" s="1" t="s">
        <v>674</v>
      </c>
      <c r="B5421" s="1" t="str">
        <f ca="1">IFERROR(__xludf.DUMFUNCTION("GOOGLETRANSLATE(A5585,""id"",""en"")"),"The steps of the Minister of SOEs support the transition of environmentally friendly energy")</f>
        <v>The steps of the Minister of SOEs support the transition of environmentally friendly energy</v>
      </c>
    </row>
    <row r="5422" spans="1:2" x14ac:dyDescent="0.2">
      <c r="A5422" s="1" t="s">
        <v>1981</v>
      </c>
      <c r="B5422" s="1" t="str">
        <f ca="1">IFERROR(__xludf.DUMFUNCTION("GOOGLETRANSLATE(A5586,""id"",""en"")"),"Indonesia Puncak Gold PT PLN INALUM  Collaboration Building a RA Battery Business")</f>
        <v>Indonesia Puncak Gold PT PLN INALUM  Collaboration Building a RA Battery Business</v>
      </c>
    </row>
    <row r="5423" spans="1:2" x14ac:dyDescent="0.2">
      <c r="A5423" s="1" t="s">
        <v>1982</v>
      </c>
      <c r="B5423" s="1" t="str">
        <f ca="1">IFERROR(__xludf.DUMFUNCTION("GOOGLETRANSLATE(A5587,""id"",""en"")")," Goes Bankrupt then Makes Stupid Policies and that policy is only for the lower class people you can imagine how evil it is")</f>
        <v xml:space="preserve"> Goes Bankrupt then Makes Stupid Policies and that policy is only for the lower class people you can imagine how evil it is</v>
      </c>
    </row>
    <row r="5424" spans="1:2" x14ac:dyDescent="0.2">
      <c r="A5424" s="1" t="s">
        <v>5543</v>
      </c>
      <c r="B5424" s="1" t="str">
        <f ca="1">IFERROR(__xludf.DUMFUNCTION("GOOGLETRANSLATE(A5588,""id"",""en"")"),"if college  still download   kh bg")</f>
        <v>if college  still download   kh bg</v>
      </c>
    </row>
    <row r="5425" spans="1:2" x14ac:dyDescent="0.2">
      <c r="A5425" s="1" t="s">
        <v>5544</v>
      </c>
      <c r="B5425" s="1" t="str">
        <f ca="1">IFERROR(__xludf.DUMFUNCTION("GOOGLETRANSLATE(A5590,""id"",""en"")"),"App   Culture Photocopy of KTP Sheet")</f>
        <v>App   Culture Photocopy of KTP Sheet</v>
      </c>
    </row>
    <row r="5426" spans="1:2" x14ac:dyDescent="0.2">
      <c r="A5426" s="1" t="s">
        <v>5545</v>
      </c>
      <c r="B5426" s="1" t="str">
        <f ca="1">IFERROR(__xludf.DUMFUNCTION("GOOGLETRANSLATE(A5592,""id"",""en"")"),"If you go, you don't choose, you don't want to go, if you buy oil using the protection, you care, buying gasoline using  , the other bombs, the signal that is difficult")</f>
        <v>If you go, you don't choose, you don't want to go, if you buy oil using the protection, you care, buying gasoline using  , the other bombs, the signal that is difficult</v>
      </c>
    </row>
    <row r="5427" spans="1:2" x14ac:dyDescent="0.2">
      <c r="A5427" s="1" t="s">
        <v>675</v>
      </c>
      <c r="B5427" s="1" t="str">
        <f ca="1">IFERROR(__xludf.DUMFUNCTION("GOOGLETRANSLATE(A5593,""id"",""en"")"),"Thank you, friend, support Rian's success")</f>
        <v>Thank you, friend, support Rian's success</v>
      </c>
    </row>
    <row r="5428" spans="1:2" x14ac:dyDescent="0.2">
      <c r="A5428" s="1" t="s">
        <v>676</v>
      </c>
      <c r="B5428" s="1" t="str">
        <f ca="1">IFERROR(__xludf.DUMFUNCTION("GOOGLETRANSLATE(A5594,""id"",""en"")"),"Thank you, Rian's successful appreciation")</f>
        <v>Thank you, Rian's successful appreciation</v>
      </c>
    </row>
    <row r="5429" spans="1:2" x14ac:dyDescent="0.2">
      <c r="A5429" s="1" t="s">
        <v>1983</v>
      </c>
      <c r="B5429" s="1" t="str">
        <f ca="1">IFERROR(__xludf.DUMFUNCTION("GOOGLETRANSLATE(A5595,""id"",""en"")"),"Gabole Maen Hp Pas ")</f>
        <v xml:space="preserve">Gabole Maen Hp Pas </v>
      </c>
    </row>
    <row r="5430" spans="1:2" x14ac:dyDescent="0.2">
      <c r="A5430" s="1" t="s">
        <v>1984</v>
      </c>
      <c r="B5430" s="1" t="str">
        <f ca="1">IFERROR(__xludf.DUMFUNCTION("GOOGLETRANSLATE(A5596,""id"",""en"")"),"Ve just posted new blog Kapolresta Denpasar A hearing PT  Branch Denpasar")</f>
        <v>Ve just posted new blog Kapolresta Denpasar A hearing PT  Branch Denpasar</v>
      </c>
    </row>
    <row r="5431" spans="1:2" x14ac:dyDescent="0.2">
      <c r="A5431" s="1" t="s">
        <v>5546</v>
      </c>
      <c r="B5431" s="1" t="str">
        <f ca="1">IFERROR(__xludf.DUMFUNCTION("GOOGLETRANSLATE(A5597,""id"",""en"")"),"oyo sm   its okay but the one is ajh yh")</f>
        <v>oyo sm   its okay but the one is ajh yh</v>
      </c>
    </row>
    <row r="5432" spans="1:2" x14ac:dyDescent="0.2">
      <c r="A5432" s="1" t="s">
        <v>1985</v>
      </c>
      <c r="B5432" s="1" t="str">
        <f ca="1">IFERROR(__xludf.DUMFUNCTION("GOOGLETRANSLATE(A5598,""id"",""en"")"),"Contradictory Set  forbid Life Mobile Many people who can buy motorbikes buy sophisticated cellphones.")</f>
        <v>Contradictory Set  forbid Life Mobile Many people who can buy motorbikes buy sophisticated cellphones.</v>
      </c>
    </row>
    <row r="5433" spans="1:2" x14ac:dyDescent="0.2">
      <c r="A5433" s="1" t="s">
        <v>5547</v>
      </c>
      <c r="B5433" s="1" t="str">
        <f ca="1">IFERROR(__xludf.DUMFUNCTION("GOOGLETRANSLATE(A5599,""id"",""en"")"),"complicated indo people yesterday Japan I paid using   and paid transactions using a safe distance of the task")</f>
        <v>complicated indo people yesterday Japan I paid using   and paid transactions using a safe distance of the task</v>
      </c>
    </row>
    <row r="5434" spans="1:2" x14ac:dyDescent="0.2">
      <c r="A5434" s="1" t="s">
        <v>1225</v>
      </c>
      <c r="B5434" s="1" t="str">
        <f ca="1">IFERROR(__xludf.DUMFUNCTION("GOOGLETRANSLATE(A5600,""id"",""en"")"),"Denpasar Police Chief of PT  Branch Denpasar Denpasar Branch")</f>
        <v>Denpasar Police Chief of PT  Branch Denpasar Denpasar Branch</v>
      </c>
    </row>
    <row r="5435" spans="1:2" x14ac:dyDescent="0.2">
      <c r="A5435" s="1" t="s">
        <v>1225</v>
      </c>
      <c r="B5435" s="1" t="str">
        <f ca="1">IFERROR(__xludf.DUMFUNCTION("GOOGLETRANSLATE(A5601,""id"",""en"")"),"Denpasar Police Chief of PT  Branch Denpasar Denpasar Branch")</f>
        <v>Denpasar Police Chief of PT  Branch Denpasar Denpasar Branch</v>
      </c>
    </row>
    <row r="5436" spans="1:2" x14ac:dyDescent="0.2">
      <c r="A5436" s="1" t="s">
        <v>1225</v>
      </c>
      <c r="B5436" s="1" t="str">
        <f ca="1">IFERROR(__xludf.DUMFUNCTION("GOOGLETRANSLATE(A5602,""id"",""en"")"),"Denpasar Police Chief of PT  Branch Denpasar Denpasar Branch")</f>
        <v>Denpasar Police Chief of PT  Branch Denpasar Denpasar Branch</v>
      </c>
    </row>
    <row r="5437" spans="1:2" x14ac:dyDescent="0.2">
      <c r="A5437" s="1" t="s">
        <v>1986</v>
      </c>
      <c r="B5437" s="1" t="str">
        <f ca="1">IFERROR(__xludf.DUMFUNCTION("GOOGLETRANSLATE(A5603,""id"",""en"")"),"Nowonair Corporate Secretary of PT  Patra Niaga Sub Holding Commercial Amp Trading  Irto Ginting Discussing the Wise Hooks Consumer BBM Types of Solar Prtalite Subsidies")</f>
        <v>Nowonair Corporate Secretary of PT  Patra Niaga Sub Holding Commercial Amp Trading  Irto Ginting Discussing the Wise Hooks Consumer BBM Types of Solar Prtalite Subsidies</v>
      </c>
    </row>
    <row r="5438" spans="1:2" x14ac:dyDescent="0.2">
      <c r="A5438" s="1" t="s">
        <v>1987</v>
      </c>
      <c r="B5438" s="1" t="str">
        <f ca="1">IFERROR(__xludf.DUMFUNCTION("GOOGLETRANSLATE(A5604,""id"",""en"")"),"jkt mah crowded who bought but the service is different from ")</f>
        <v xml:space="preserve">jkt mah crowded who bought but the service is different from </v>
      </c>
    </row>
    <row r="5439" spans="1:2" x14ac:dyDescent="0.2">
      <c r="A5439" s="1" t="s">
        <v>5548</v>
      </c>
      <c r="B5439" s="1" t="str">
        <f ca="1">IFERROR(__xludf.DUMFUNCTION("GOOGLETRANSLATE(A5605,""id"",""en"")"),"Go to   the option to pay no manner")</f>
        <v>Go to   the option to pay no manner</v>
      </c>
    </row>
    <row r="5440" spans="1:2" x14ac:dyDescent="0.2">
      <c r="A5440" s="1" t="s">
        <v>5549</v>
      </c>
      <c r="B5440" s="1" t="str">
        <f ca="1">IFERROR(__xludf.DUMFUNCTION("GOOGLETRANSLATE(A5606,""id"",""en"")"),"gas stations prohibit cellphones but buy   mobile hmmm pull")</f>
        <v>gas stations prohibit cellphones but buy   mobile hmmm pull</v>
      </c>
    </row>
    <row r="5441" spans="1:2" x14ac:dyDescent="0.2">
      <c r="A5441" s="1" t="s">
        <v>1988</v>
      </c>
      <c r="B5441" s="1" t="str">
        <f ca="1">IFERROR(__xludf.DUMFUNCTION("GOOGLETRANSLATE(A5607,""id"",""en"")")," is strange")</f>
        <v xml:space="preserve"> is strange</v>
      </c>
    </row>
    <row r="5442" spans="1:2" x14ac:dyDescent="0.2">
      <c r="A5442" s="1" t="s">
        <v>1989</v>
      </c>
      <c r="B5442" s="1" t="str">
        <f ca="1">IFERROR(__xludf.DUMFUNCTION("GOOGLETRANSLATE(A5608,""id"",""en"")"),"Test to buy Pertamax using the Sulawesi Kalimantan application there Gada Vivo Shell, etc.")</f>
        <v>Test to buy Pertamax using the Sulawesi Kalimantan application there Gada Vivo Shell, etc.</v>
      </c>
    </row>
    <row r="5443" spans="1:2" x14ac:dyDescent="0.2">
      <c r="A5443" s="1" t="s">
        <v>5550</v>
      </c>
      <c r="B5443" s="1" t="str">
        <f ca="1">IFERROR(__xludf.DUMFUNCTION("GOOGLETRANSLATE(A5609,""id"",""en"")"),"ABA ABA SI SUPERHERO Come on Digital Download the Protection Care Application   Pas Demo deh Guess the drama ne  ee urgent the Maybe Yes Maybe no application")</f>
        <v>ABA ABA SI SUPERHERO Come on Digital Download the Protection Care Application   Pas Demo deh Guess the drama ne  ee urgent the Maybe Yes Maybe no application</v>
      </c>
    </row>
    <row r="5444" spans="1:2" x14ac:dyDescent="0.2">
      <c r="A5444" s="1" t="s">
        <v>5551</v>
      </c>
      <c r="B5444" s="1" t="str">
        <f ca="1">IFERROR(__xludf.DUMFUNCTION("GOOGLETRANSLATE(A5610,""id"",""en"")"),"  Application Ngebug Not Lot Lot Slow, I really pretend to be a developed country, not gin, gin, bothering to be ")</f>
        <v xml:space="preserve">  Application Ngebug Not Lot Lot Slow, I really pretend to be a developed country, not gin, gin, bothering to be </v>
      </c>
    </row>
    <row r="5445" spans="1:2" x14ac:dyDescent="0.2">
      <c r="A5445" s="1" t="s">
        <v>677</v>
      </c>
      <c r="B5445" s="1" t="str">
        <f ca="1">IFERROR(__xludf.DUMFUNCTION("GOOGLETRANSLATE(A5611,""id"",""en"")"),"not the result")</f>
        <v>not the result</v>
      </c>
    </row>
    <row r="5446" spans="1:2" x14ac:dyDescent="0.2">
      <c r="A5446" s="1" t="s">
        <v>1990</v>
      </c>
      <c r="B5446" s="1" t="str">
        <f ca="1">IFERROR(__xludf.DUMFUNCTION("GOOGLETRANSLATE(A5612,""id"",""en"")"),"Different  Shell Shell Education Education 's fuel")</f>
        <v>Different  Shell Shell Education Education 's fuel</v>
      </c>
    </row>
    <row r="5447" spans="1:2" x14ac:dyDescent="0.2">
      <c r="A5447" s="1" t="s">
        <v>678</v>
      </c>
      <c r="B5447" s="1" t="str">
        <f ca="1">IFERROR(__xludf.DUMFUNCTION("GOOGLETRANSLATE(A5613,""id"",""en"")"),"hehehe twoarrrr")</f>
        <v>hehehe twoarrrr</v>
      </c>
    </row>
    <row r="5448" spans="1:2" x14ac:dyDescent="0.2">
      <c r="A5448" s="1" t="s">
        <v>5552</v>
      </c>
      <c r="B5448" s="1" t="str">
        <f ca="1">IFERROR(__xludf.DUMFUNCTION("GOOGLETRANSLATE(A5614,""id"",""en"")"),"prohibit using a cellphone when  but told to buy bengsin using the  application, how")</f>
        <v>prohibit using a cellphone when  but told to buy bengsin using the  application, how</v>
      </c>
    </row>
    <row r="5449" spans="1:2" x14ac:dyDescent="0.2">
      <c r="A5449" s="1" t="s">
        <v>1991</v>
      </c>
      <c r="B5449" s="1" t="str">
        <f ca="1">IFERROR(__xludf.DUMFUNCTION("GOOGLETRANSLATE(A5615,""id"",""en"")"),"PREGAIN  BETHOD MOVE MOVING LAPAK LAEN")</f>
        <v>PREGAIN  BETHOD MOVE MOVING LAPAK LAEN</v>
      </c>
    </row>
    <row r="5450" spans="1:2" x14ac:dyDescent="0.2">
      <c r="A5450" s="1" t="s">
        <v>1992</v>
      </c>
      <c r="B5450" s="1" t="str">
        <f ca="1">IFERROR(__xludf.DUMFUNCTION("GOOGLETRANSLATE(A5616,""id"",""en"")"),"Read about  July.")</f>
        <v>Read about  July.</v>
      </c>
    </row>
    <row r="5451" spans="1:2" x14ac:dyDescent="0.2">
      <c r="A5451" s="1" t="s">
        <v>5553</v>
      </c>
      <c r="B5451" s="1" t="str">
        <f ca="1">IFERROR(__xludf.DUMFUNCTION("GOOGLETRANSLATE(A5617,""id"",""en"")"),"Believe that the Bumi Oval Caca Marshanda Yupi Holywings Night AFC Cup Origi Aice League Change Prosecutor Artemis Dago Ajax Qodari Turu Cambodia PSM Makassar Puti Kw   Indra Bekti Doctor Lisa")</f>
        <v>Believe that the Bumi Oval Caca Marshanda Yupi Holywings Night AFC Cup Origi Aice League Change Prosecutor Artemis Dago Ajax Qodari Turu Cambodia PSM Makassar Puti Kw   Indra Bekti Doctor Lisa</v>
      </c>
    </row>
    <row r="5452" spans="1:2" x14ac:dyDescent="0.2">
      <c r="A5452" s="1" t="s">
        <v>5554</v>
      </c>
      <c r="B5452" s="1" t="str">
        <f ca="1">IFERROR(__xludf.DUMFUNCTION("GOOGLETRANSLATE(A5618,""id"",""en"")"),"Deputy Speaker of the DPR Sufmi Dasco Ahmad  Massif Socialization for the  application to buy Pertalite Solar Dasco except to adjust the community access to the  application")</f>
        <v>Deputy Speaker of the DPR Sufmi Dasco Ahmad  Massif Socialization for the  application to buy Pertalite Solar Dasco except to adjust the community access to the  application</v>
      </c>
    </row>
    <row r="5453" spans="1:2" x14ac:dyDescent="0.2">
      <c r="A5453" s="1" t="s">
        <v>5555</v>
      </c>
      <c r="B5453" s="1" t="str">
        <f ca="1">IFERROR(__xludf.DUMFUNCTION("GOOGLETRANSLATE(A5619,""id"",""en"")")," application requirements for buying fuel subsidies for the type of solar pertalite in Juli Real PT  Persero Salur Sasar Cil Inews Pertalite Solar BBM Application Order  Pt")</f>
        <v xml:space="preserve"> application requirements for buying fuel subsidies for the type of solar pertalite in Juli Real PT  Persero Salur Sasar Cil Inews Pertalite Solar BBM Application Order  Pt</v>
      </c>
    </row>
    <row r="5454" spans="1:2" x14ac:dyDescent="0.2">
      <c r="A5454" s="1" t="s">
        <v>5556</v>
      </c>
      <c r="B5454" s="1" t="str">
        <f ca="1">IFERROR(__xludf.DUMFUNCTION("GOOGLETRANSLATE(A5620,""id"",""en"")"),"some gas stations are banned on the fuel contents of the fuel, it appears to adjust to buy pertalite opening the  application, open the apps, it makes it a cross and the pertalite ")</f>
        <v xml:space="preserve">some gas stations are banned on the fuel contents of the fuel, it appears to adjust to buy pertalite opening the  application, open the apps, it makes it a cross and the pertalite </v>
      </c>
    </row>
    <row r="5455" spans="1:2" x14ac:dyDescent="0.2">
      <c r="A5455" s="1" t="s">
        <v>1993</v>
      </c>
      <c r="B5455" s="1" t="str">
        <f ca="1">IFERROR(__xludf.DUMFUNCTION("GOOGLETRANSLATE(A5621,""id"",""en"")")," is inquired because of the Cecer Oil Area of ​​the Wijayapura Cilacap Pier Water Area Nusakambangan")</f>
        <v xml:space="preserve"> is inquired because of the Cecer Oil Area of ​​the Wijayapura Cilacap Pier Water Area Nusakambangan</v>
      </c>
    </row>
    <row r="5456" spans="1:2" x14ac:dyDescent="0.2">
      <c r="A5456" s="1" t="s">
        <v>5557</v>
      </c>
      <c r="B5456" s="1" t="str">
        <f ca="1">IFERROR(__xludf.DUMFUNCTION("GOOGLETRANSLATE(A5623,""id"",""en"")"),"Connect point no if the Pencil Area which demographic is the Masy Masy, the cellphone is not qualified according to the requirements of   so it is difficult")</f>
        <v>Connect point no if the Pencil Area which demographic is the Masy Masy, the cellphone is not qualified according to the requirements of   so it is difficult</v>
      </c>
    </row>
    <row r="5457" spans="1:2" x14ac:dyDescent="0.2">
      <c r="A5457" s="1" t="s">
        <v>5558</v>
      </c>
      <c r="B5457" s="1" t="str">
        <f ca="1">IFERROR(__xludf.DUMFUNCTION("GOOGLETRANSLATE(A5624,""id"",""en"")"),"Kuy uses  ")</f>
        <v xml:space="preserve">Kuy uses  </v>
      </c>
    </row>
    <row r="5458" spans="1:2" x14ac:dyDescent="0.2">
      <c r="A5458" s="1" t="s">
        <v>5559</v>
      </c>
      <c r="B5458" s="1" t="str">
        <f ca="1">IFERROR(__xludf.DUMFUNCTION("GOOGLETRANSLATE(A5625,""id"",""en"")"),"July buy pertalite hrs download   is not mistaken on the gas gas not using a cellphone org org smartphone try it erti")</f>
        <v>July buy pertalite hrs download   is not mistaken on the gas gas not using a cellphone org org smartphone try it erti</v>
      </c>
    </row>
    <row r="5459" spans="1:2" x14ac:dyDescent="0.2">
      <c r="A5459" s="1" t="s">
        <v>1994</v>
      </c>
      <c r="B5459" s="1" t="str">
        <f ca="1">IFERROR(__xludf.DUMFUNCTION("GOOGLETRANSLATE(A5626,""id"",""en"")"),"I think Ahok entered  to be aware of , I didn't know that it was complicated hahahahahaha")</f>
        <v>I think Ahok entered  to be aware of , I didn't know that it was complicated hahahahahaha</v>
      </c>
    </row>
    <row r="5460" spans="1:2" x14ac:dyDescent="0.2">
      <c r="A5460" s="1" t="s">
        <v>1995</v>
      </c>
      <c r="B5460" s="1" t="str">
        <f ca="1">IFERROR(__xludf.DUMFUNCTION("GOOGLETRANSLATE(A5627,""id"",""en"")"),"What are you doing, the list of BUMN Database Cares for  Care Database")</f>
        <v>What are you doing, the list of BUMN Database Cares for  Care Database</v>
      </c>
    </row>
    <row r="5461" spans="1:2" x14ac:dyDescent="0.2">
      <c r="A5461" s="1" t="s">
        <v>1996</v>
      </c>
      <c r="B5461" s="1" t="str">
        <f ca="1">IFERROR(__xludf.DUMFUNCTION("GOOGLETRANSLATE(A5628,""id"",""en"")")," fully support")</f>
        <v xml:space="preserve"> fully support</v>
      </c>
    </row>
    <row r="5462" spans="1:2" x14ac:dyDescent="0.2">
      <c r="A5462" s="1" t="s">
        <v>1997</v>
      </c>
      <c r="B5462" s="1" t="str">
        <f ca="1">IFERROR(__xludf.DUMFUNCTION("GOOGLETRANSLATE(A5629,""id"",""en"")")," Eyes Calculator Image")</f>
        <v xml:space="preserve"> Eyes Calculator Image</v>
      </c>
    </row>
    <row r="5463" spans="1:2" x14ac:dyDescent="0.2">
      <c r="A5463" s="1" t="s">
        <v>1998</v>
      </c>
      <c r="B5463" s="1" t="str">
        <f ca="1">IFERROR(__xludf.DUMFUNCTION("GOOGLETRANSLATE(A5630,""id"",""en"")"),"not to test the statement beforehand, bro, responsive to ")</f>
        <v xml:space="preserve">not to test the statement beforehand, bro, responsive to </v>
      </c>
    </row>
    <row r="5464" spans="1:2" x14ac:dyDescent="0.2">
      <c r="A5464" s="1" t="s">
        <v>5560</v>
      </c>
      <c r="B5464" s="1" t="str">
        <f ca="1">IFERROR(__xludf.DUMFUNCTION("GOOGLETRANSLATE(A5631,""id"",""en"")"),"already already used   but not used it makes you lazy")</f>
        <v>already already used   but not used it makes you lazy</v>
      </c>
    </row>
    <row r="5465" spans="1:2" x14ac:dyDescent="0.2">
      <c r="A5465" s="1" t="s">
        <v>5561</v>
      </c>
      <c r="B5465" s="1" t="str">
        <f ca="1">IFERROR(__xludf.DUMFUNCTION("GOOGLETRANSLATE(A5632,""id"",""en"")"),"Meuli Oil Make Application Cares Protection Meuli Pertalite Jeung Solar Make   Sieun Engke Pas Gengek expensive mun meuli kudu make the application  telkomsel application")</f>
        <v>Meuli Oil Make Application Cares Protection Meuli Pertalite Jeung Solar Make   Sieun Engke Pas Gengek expensive mun meuli kudu make the application  telkomsel application</v>
      </c>
    </row>
    <row r="5466" spans="1:2" x14ac:dyDescent="0.2">
      <c r="A5466" s="1" t="s">
        <v>1310</v>
      </c>
      <c r="B5466" s="1" t="str">
        <f ca="1">IFERROR(__xludf.DUMFUNCTION("GOOGLETRANSLATE(A5633,""id"",""en"")"),"'s spirit")</f>
        <v>'s spirit</v>
      </c>
    </row>
    <row r="5467" spans="1:2" x14ac:dyDescent="0.2">
      <c r="A5467" s="1" t="s">
        <v>1999</v>
      </c>
      <c r="B5467" s="1" t="str">
        <f ca="1">IFERROR(__xludf.DUMFUNCTION("GOOGLETRANSLATE(A5634,""id"",""en"")"),"Pertalite Buy using the application if you use the application to buy BBM thinking adding quota  Makmur Telkomsel cs fortunately the problem is the problem, so patiently not pertalite")</f>
        <v>Pertalite Buy using the application if you use the application to buy BBM thinking adding quota  Makmur Telkomsel cs fortunately the problem is the problem, so patiently not pertalite</v>
      </c>
    </row>
    <row r="5468" spans="1:2" x14ac:dyDescent="0.2">
      <c r="A5468" s="1" t="s">
        <v>5562</v>
      </c>
      <c r="B5468" s="1" t="str">
        <f ca="1">IFERROR(__xludf.DUMFUNCTION("GOOGLETRANSLATE(A5635,""id"",""en"")"),"  Pertamax Bright Gas Iktan Gais Quiz Follow Giveaway rjbt ")</f>
        <v xml:space="preserve">  Pertamax Bright Gas Iktan Gais Quiz Follow Giveaway rjbt </v>
      </c>
    </row>
    <row r="5469" spans="1:2" x14ac:dyDescent="0.2">
      <c r="A5469" s="1" t="s">
        <v>679</v>
      </c>
      <c r="B5469" s="1" t="str">
        <f ca="1">IFERROR(__xludf.DUMFUNCTION("GOOGLETRANSLATE(A5636,""id"",""en"")"),"It's complicated")</f>
        <v>It's complicated</v>
      </c>
    </row>
    <row r="5470" spans="1:2" x14ac:dyDescent="0.2">
      <c r="A5470" s="1" t="s">
        <v>680</v>
      </c>
      <c r="B5470" s="1" t="str">
        <f ca="1">IFERROR(__xludf.DUMFUNCTION("GOOGLETRANSLATE(A5637,""id"",""en"")"),"Buy Pertalite Open the Application Yes Check No Eligible already queued the hot test and the hunt is not the quota of the app, the error is not brought the cellphone near the piye, it's complicated")</f>
        <v>Buy Pertalite Open the Application Yes Check No Eligible already queued the hot test and the hunt is not the quota of the app, the error is not brought the cellphone near the piye, it's complicated</v>
      </c>
    </row>
    <row r="5471" spans="1:2" x14ac:dyDescent="0.2">
      <c r="A5471" s="1" t="s">
        <v>5563</v>
      </c>
      <c r="B5471" s="1" t="str">
        <f ca="1">IFERROR(__xludf.DUMFUNCTION("GOOGLETRANSLATE(A5638,""id"",""en"")"),"Don't get the front of the one who sells  's card service so that the access to buy pertalite")</f>
        <v>Don't get the front of the one who sells  's card service so that the access to buy pertalite</v>
      </c>
    </row>
    <row r="5472" spans="1:2" x14ac:dyDescent="0.2">
      <c r="A5472" s="1" t="s">
        <v>2000</v>
      </c>
      <c r="B5472" s="1" t="str">
        <f ca="1">IFERROR(__xludf.DUMFUNCTION("GOOGLETRANSLATE(A5639,""id"",""en"")"),"Poor  Eat Kakean Nana Ninu")</f>
        <v>Poor  Eat Kakean Nana Ninu</v>
      </c>
    </row>
    <row r="5473" spans="1:2" x14ac:dyDescent="0.2">
      <c r="A5473" s="1" t="s">
        <v>2001</v>
      </c>
      <c r="B5473" s="1" t="str">
        <f ca="1">IFERROR(__xludf.DUMFUNCTION("GOOGLETRANSLATE(A5640,""id"",""en"")"),"Ealah, the answer to Empane Pro  Ms. Ak failed Maca TWIT")</f>
        <v>Ealah, the answer to Empane Pro  Ms. Ak failed Maca TWIT</v>
      </c>
    </row>
    <row r="5474" spans="1:2" x14ac:dyDescent="0.2">
      <c r="A5474" s="1" t="s">
        <v>2002</v>
      </c>
      <c r="B5474" s="1" t="str">
        <f ca="1">IFERROR(__xludf.DUMFUNCTION("GOOGLETRANSLATE(A5641,""id"",""en"")")," bastard")</f>
        <v xml:space="preserve"> bastard</v>
      </c>
    </row>
    <row r="5475" spans="1:2" x14ac:dyDescent="0.2">
      <c r="A5475" s="1" t="s">
        <v>2003</v>
      </c>
      <c r="B5475" s="1" t="str">
        <f ca="1">IFERROR(__xludf.DUMFUNCTION("GOOGLETRANSLATE(A5642,""id"",""en"")"),"Read the true info that is valid if it's really a loss, it doesn't blame because because of the world oil price, the price of  is responsible for the selling price of the fuel economic price.")</f>
        <v>Read the true info that is valid if it's really a loss, it doesn't blame because because of the world oil price, the price of  is responsible for the selling price of the fuel economic price.</v>
      </c>
    </row>
    <row r="5476" spans="1:2" x14ac:dyDescent="0.2">
      <c r="A5476" s="1" t="s">
        <v>5564</v>
      </c>
      <c r="B5476" s="1" t="str">
        <f ca="1">IFERROR(__xludf.DUMFUNCTION("GOOGLETRANSLATE(A5643,""id"",""en"")"),"The Chair of the Commission is confused about the implementation of buying gasoline using cards that follow can follow social assistance if not   using hadeh cards")</f>
        <v>The Chair of the Commission is confused about the implementation of buying gasoline using cards that follow can follow social assistance if not   using hadeh cards</v>
      </c>
    </row>
    <row r="5477" spans="1:2" x14ac:dyDescent="0.2">
      <c r="A5477" s="1" t="s">
        <v>5565</v>
      </c>
      <c r="B5477" s="1" t="str">
        <f ca="1">IFERROR(__xludf.DUMFUNCTION("GOOGLETRANSLATE(A5644,""id"",""en"")"),"July buying Pertalite Afflication   runs out of mind only then sells the afflication tomorrow the day after tomorrow people queue for pertalite")</f>
        <v>July buying Pertalite Afflication   runs out of mind only then sells the afflication tomorrow the day after tomorrow people queue for pertalite</v>
      </c>
    </row>
    <row r="5478" spans="1:2" x14ac:dyDescent="0.2">
      <c r="A5478" s="1" t="s">
        <v>2004</v>
      </c>
      <c r="B5478" s="1" t="str">
        <f ca="1">IFERROR(__xludf.DUMFUNCTION("GOOGLETRANSLATE(A5645,""id"",""en"")"),"You teach a complicated traffic jam, don't use your emotions to laugh so that it doesn't stress  from I, I prohibit your cellphone now to buy a cellphone with a distance of the Batak meter meter")</f>
        <v>You teach a complicated traffic jam, don't use your emotions to laugh so that it doesn't stress  from I, I prohibit your cellphone now to buy a cellphone with a distance of the Batak meter meter</v>
      </c>
    </row>
    <row r="5479" spans="1:2" x14ac:dyDescent="0.2">
      <c r="A5479" s="1" t="s">
        <v>2005</v>
      </c>
      <c r="B5479" s="1" t="str">
        <f ca="1">IFERROR(__xludf.DUMFUNCTION("GOOGLETRANSLATE(A5646,""id"",""en"")"),"YNTKTS Persijaday  Pertalite")</f>
        <v>YNTKTS Persijaday  Pertalite</v>
      </c>
    </row>
    <row r="5480" spans="1:2" x14ac:dyDescent="0.2">
      <c r="A5480" s="1" t="s">
        <v>681</v>
      </c>
      <c r="B5480" s="1" t="str">
        <f ca="1">IFERROR(__xludf.DUMFUNCTION("GOOGLETRANSLATE(A5647,""id"",""en"")"),"please review wisely to buy pertalite using a full cellphone application")</f>
        <v>please review wisely to buy pertalite using a full cellphone application</v>
      </c>
    </row>
    <row r="5481" spans="1:2" x14ac:dyDescent="0.2">
      <c r="A5481" s="1" t="s">
        <v>2006</v>
      </c>
      <c r="B5481" s="1" t="str">
        <f ca="1">IFERROR(__xludf.DUMFUNCTION("GOOGLETRANSLATE(A5648,""id"",""en"")"),"spill  Cilacap area")</f>
        <v>spill  Cilacap area</v>
      </c>
    </row>
    <row r="5482" spans="1:2" x14ac:dyDescent="0.2">
      <c r="A5482" s="1" t="s">
        <v>5566</v>
      </c>
      <c r="B5482" s="1" t="str">
        <f ca="1">IFERROR(__xludf.DUMFUNCTION("GOOGLETRANSLATE(A5649,""id"",""en"")"),"Where did I open the SSO   SSO")</f>
        <v>Where did I open the SSO   SSO</v>
      </c>
    </row>
    <row r="5483" spans="1:2" x14ac:dyDescent="0.2">
      <c r="A5483" s="1" t="s">
        <v>2007</v>
      </c>
      <c r="B5483" s="1" t="str">
        <f ca="1">IFERROR(__xludf.DUMFUNCTION("GOOGLETRANSLATE(A5650,""id"",""en"")"),"Minister of SOE Erick Thohir airline flight Pelita Air Layan Millennial Subsidiary 's Different Garuda Bangkitbersamaet segment")</f>
        <v>Minister of SOE Erick Thohir airline flight Pelita Air Layan Millennial Subsidiary 's Different Garuda Bangkitbersamaet segment</v>
      </c>
    </row>
    <row r="5484" spans="1:2" x14ac:dyDescent="0.2">
      <c r="A5484" s="1" t="s">
        <v>5567</v>
      </c>
      <c r="B5484" s="1" t="str">
        <f ca="1">IFERROR(__xludf.DUMFUNCTION("GOOGLETRANSLATE(A5651,""id"",""en"")"),"Pattern Scarf Motif Premium Motif Product Info Buy Price Click Link Indra Bekti   Regime Association of Doctor Last Last Anime First Anime Lontong Akane Fajri Solar Last Last Ghibli Qodari")</f>
        <v>Pattern Scarf Motif Premium Motif Product Info Buy Price Click Link Indra Bekti   Regime Association of Doctor Last Last Anime First Anime Lontong Akane Fajri Solar Last Last Ghibli Qodari</v>
      </c>
    </row>
    <row r="5485" spans="1:2" x14ac:dyDescent="0.2">
      <c r="A5485" s="1" t="s">
        <v>682</v>
      </c>
      <c r="B5485" s="1" t="str">
        <f ca="1">IFERROR(__xludf.DUMFUNCTION("GOOGLETRANSLATE(A5652,""id"",""en"")"),"Listen")</f>
        <v>Listen</v>
      </c>
    </row>
    <row r="5486" spans="1:2" x14ac:dyDescent="0.2">
      <c r="A5486" s="1" t="s">
        <v>5568</v>
      </c>
      <c r="B5486" s="1" t="str">
        <f ca="1">IFERROR(__xludf.DUMFUNCTION("GOOGLETRANSLATE(A5653,""id"",""en"")"),"Read Buy BBM Subsidies Using  Think Those Who Get Subsidies for People Who Use Mobile Phones that  people are smart in thinking there")</f>
        <v>Read Buy BBM Subsidies Using  Think Those Who Get Subsidies for People Who Use Mobile Phones that  people are smart in thinking there</v>
      </c>
    </row>
    <row r="5487" spans="1:2" x14ac:dyDescent="0.2">
      <c r="A5487" s="1" t="s">
        <v>2008</v>
      </c>
      <c r="B5487" s="1" t="str">
        <f ca="1">IFERROR(__xludf.DUMFUNCTION("GOOGLETRANSLATE(A5654,""id"",""en"")"),"Watch TV News One Reporter  Data has connected with Dinsos data for those who are worthy")</f>
        <v>Watch TV News One Reporter  Data has connected with Dinsos data for those who are worthy</v>
      </c>
    </row>
    <row r="5488" spans="1:2" x14ac:dyDescent="0.2">
      <c r="A5488" s="1" t="s">
        <v>2009</v>
      </c>
      <c r="B5488" s="1" t="str">
        <f ca="1">IFERROR(__xludf.DUMFUNCTION("GOOGLETRANSLATE(A5655,""id"",""en"")"),"no people buy gasoline shell traffic lha pom  whose traffic is a minute not worried bledug")</f>
        <v>no people buy gasoline shell traffic lha pom  whose traffic is a minute not worried bledug</v>
      </c>
    </row>
    <row r="5489" spans="1:2" x14ac:dyDescent="0.2">
      <c r="A5489" s="1" t="s">
        <v>2010</v>
      </c>
      <c r="B5489" s="1" t="str">
        <f ca="1">IFERROR(__xludf.DUMFUNCTION("GOOGLETRANSLATE(A5656,""id"",""en"")"),"already an era of the transportation of one  Pertalite Transportation")</f>
        <v>already an era of the transportation of one  Pertalite Transportation</v>
      </c>
    </row>
    <row r="5490" spans="1:2" x14ac:dyDescent="0.2">
      <c r="A5490" s="1" t="s">
        <v>2011</v>
      </c>
      <c r="B5490" s="1" t="str">
        <f ca="1">IFERROR(__xludf.DUMFUNCTION("GOOGLETRANSLATE(A5657,""id"",""en"")"),"Fill in Pertalite  Web List Application")</f>
        <v>Fill in Pertalite  Web List Application</v>
      </c>
    </row>
    <row r="5491" spans="1:2" x14ac:dyDescent="0.2">
      <c r="A5491" s="1" t="s">
        <v>2012</v>
      </c>
      <c r="B5491" s="1" t="str">
        <f ca="1">IFERROR(__xludf.DUMFUNCTION("GOOGLETRANSLATE(A5658,""id"",""en"")"),"The Director of  is a genius of people, yes, the genius is difficult")</f>
        <v>The Director of  is a genius of people, yes, the genius is difficult</v>
      </c>
    </row>
    <row r="5492" spans="1:2" x14ac:dyDescent="0.2">
      <c r="A5492" s="1" t="s">
        <v>2013</v>
      </c>
      <c r="B5492" s="1" t="str">
        <f ca="1">IFERROR(__xludf.DUMFUNCTION("GOOGLETRANSLATE(A5659,""id"",""en"")"),"Easy to with 's application for profit and loss to lose first")</f>
        <v>Easy to with 's application for profit and loss to lose first</v>
      </c>
    </row>
    <row r="5493" spans="1:2" x14ac:dyDescent="0.2">
      <c r="A5493" s="1" t="s">
        <v>5569</v>
      </c>
      <c r="B5493" s="1" t="str">
        <f ca="1">IFERROR(__xludf.DUMFUNCTION("GOOGLETRANSLATE(A5660,""id"",""en"")"),"  Pertamax Bright Gas Let's participate")</f>
        <v xml:space="preserve">  Pertamax Bright Gas Let's participate</v>
      </c>
    </row>
    <row r="5494" spans="1:2" x14ac:dyDescent="0.2">
      <c r="A5494" s="1" t="s">
        <v>683</v>
      </c>
      <c r="B5494" s="1" t="str">
        <f ca="1">IFERROR(__xludf.DUMFUNCTION("GOOGLETRANSLATE(A5661,""id"",""en"")"),"hopefully the act of people who need full fuel")</f>
        <v>hopefully the act of people who need full fuel</v>
      </c>
    </row>
    <row r="5495" spans="1:2" x14ac:dyDescent="0.2">
      <c r="A5495" s="1" t="s">
        <v>684</v>
      </c>
      <c r="B5495" s="1" t="str">
        <f ca="1">IFERROR(__xludf.DUMFUNCTION("GOOGLETRANSLATE(A5662,""id"",""en"")"),"Kasi Clue is in the Smabarin of the Smart Indonesian Accounting Programmer")</f>
        <v>Kasi Clue is in the Smabarin of the Smart Indonesian Accounting Programmer</v>
      </c>
    </row>
    <row r="5496" spans="1:2" x14ac:dyDescent="0.2">
      <c r="A5496" s="1" t="s">
        <v>2014</v>
      </c>
      <c r="B5496" s="1" t="str">
        <f ca="1">IFERROR(__xludf.DUMFUNCTION("GOOGLETRANSLATE(A5663,""id"",""en"")"),"already ignorant remember  mang, bro")</f>
        <v>already ignorant remember  mang, bro</v>
      </c>
    </row>
    <row r="5497" spans="1:2" x14ac:dyDescent="0.2">
      <c r="A5497" s="1" t="s">
        <v>2015</v>
      </c>
      <c r="B5497" s="1" t="str">
        <f ca="1">IFERROR(__xludf.DUMFUNCTION("GOOGLETRANSLATE(A5664,""id"",""en"")"),"List of List for Ready KTP STNK Kendara Photo Open the list follow the instruction waiting for the job maks the e -mail that lists the confirmation list download the QR code Save the  gas station transaction")</f>
        <v>List of List for Ready KTP STNK Kendara Photo Open the list follow the instruction waiting for the job maks the e -mail that lists the confirmation list download the QR code Save the  gas station transaction</v>
      </c>
    </row>
    <row r="5498" spans="1:2" x14ac:dyDescent="0.2">
      <c r="A5498" s="1" t="s">
        <v>2016</v>
      </c>
      <c r="B5498" s="1" t="str">
        <f ca="1">IFERROR(__xludf.DUMFUNCTION("GOOGLETRANSLATE(A5665,""id"",""en"")"),"Work is indeed planning through  so that the contents use Emoney's debit")</f>
        <v>Work is indeed planning through  so that the contents use Emoney's debit</v>
      </c>
    </row>
    <row r="5499" spans="1:2" x14ac:dyDescent="0.2">
      <c r="A5499" s="1" t="s">
        <v>685</v>
      </c>
      <c r="B5499" s="1" t="str">
        <f ca="1">IFERROR(__xludf.DUMFUNCTION("GOOGLETRANSLATE(A5666,""id"",""en"")"),"the toilet is taken care of not the effect of the president")</f>
        <v>the toilet is taken care of not the effect of the president</v>
      </c>
    </row>
    <row r="5500" spans="1:2" x14ac:dyDescent="0.2">
      <c r="A5500" s="1" t="s">
        <v>2017</v>
      </c>
      <c r="B5500" s="1" t="str">
        <f ca="1">IFERROR(__xludf.DUMFUNCTION("GOOGLETRANSLATE(A5667,""id"",""en"")"),"spill 's cilacap water oil")</f>
        <v>spill 's cilacap water oil</v>
      </c>
    </row>
    <row r="5501" spans="1:2" x14ac:dyDescent="0.2">
      <c r="A5501" s="1" t="s">
        <v>686</v>
      </c>
      <c r="B5501" s="1" t="str">
        <f ca="1">IFERROR(__xludf.DUMFUNCTION("GOOGLETRANSLATE(A5668,""id"",""en"")"),"Always success")</f>
        <v>Always success</v>
      </c>
    </row>
    <row r="5502" spans="1:2" x14ac:dyDescent="0.2">
      <c r="A5502" s="1" t="s">
        <v>2018</v>
      </c>
      <c r="B5502" s="1" t="str">
        <f ca="1">IFERROR(__xludf.DUMFUNCTION("GOOGLETRANSLATE(A5669,""id"",""en"")"),"Assess BUMN Pro Rich  Name of Digitalization Mr. Happy")</f>
        <v>Assess BUMN Pro Rich  Name of Digitalization Mr. Happy</v>
      </c>
    </row>
    <row r="5503" spans="1:2" x14ac:dyDescent="0.2">
      <c r="A5503" s="1" t="s">
        <v>2019</v>
      </c>
      <c r="B5503" s="1" t="str">
        <f ca="1">IFERROR(__xludf.DUMFUNCTION("GOOGLETRANSLATE(A5670,""id"",""en"")")," Investigates Sources of Cilacap Oil")</f>
        <v xml:space="preserve"> Investigates Sources of Cilacap Oil</v>
      </c>
    </row>
    <row r="5504" spans="1:2" x14ac:dyDescent="0.2">
      <c r="A5504" s="1" t="s">
        <v>2020</v>
      </c>
      <c r="B5504" s="1" t="str">
        <f ca="1">IFERROR(__xludf.DUMFUNCTION("GOOGLETRANSLATE(A5671,""id"",""en"")"),"Goodjob ")</f>
        <v xml:space="preserve">Goodjob </v>
      </c>
    </row>
    <row r="5505" spans="1:2" x14ac:dyDescent="0.2">
      <c r="A5505" s="1" t="s">
        <v>5570</v>
      </c>
      <c r="B5505" s="1" t="str">
        <f ca="1">IFERROR(__xludf.DUMFUNCTION("GOOGLETRANSLATE(A5672,""id"",""en"")"),"Oil caring for  protected protection, the command to make a database server of the citizens, the census of the KTP, the data, the data, just scan it, so it is easy")</f>
        <v>Oil caring for  protected protection, the command to make a database server of the citizens, the census of the KTP, the data, the data, just scan it, so it is easy</v>
      </c>
    </row>
    <row r="5506" spans="1:2" x14ac:dyDescent="0.2">
      <c r="A5506" s="1" t="s">
        <v>2021</v>
      </c>
      <c r="B5506" s="1" t="str">
        <f ca="1">IFERROR(__xludf.DUMFUNCTION("GOOGLETRANSLATE(A5673,""id"",""en"")"),"Alhamdulillah, I didn't spend money on buying BBM Pertalite TKS ")</f>
        <v xml:space="preserve">Alhamdulillah, I didn't spend money on buying BBM Pertalite TKS </v>
      </c>
    </row>
    <row r="5507" spans="1:2" x14ac:dyDescent="0.2">
      <c r="A5507" s="1" t="s">
        <v>5571</v>
      </c>
      <c r="B5507" s="1" t="str">
        <f ca="1">IFERROR(__xludf.DUMFUNCTION("GOOGLETRANSLATE(A5674,""id"",""en"")"),"The aim is really pros and cons of using   socialization in seeing the July of the news, the trial province")</f>
        <v>The aim is really pros and cons of using   socialization in seeing the July of the news, the trial province</v>
      </c>
    </row>
    <row r="5508" spans="1:2" x14ac:dyDescent="0.2">
      <c r="A5508" s="1" t="s">
        <v>687</v>
      </c>
      <c r="B5508" s="1" t="str">
        <f ca="1">IFERROR(__xludf.DUMFUNCTION("GOOGLETRANSLATE(A5675,""id"",""en"")"),"BOD BOD Commissioner Setting BBM Subsidies Difficult People with Resignation Policy Policy")</f>
        <v>BOD BOD Commissioner Setting BBM Subsidies Difficult People with Resignation Policy Policy</v>
      </c>
    </row>
    <row r="5509" spans="1:2" x14ac:dyDescent="0.2">
      <c r="A5509" s="1" t="s">
        <v>5572</v>
      </c>
      <c r="B5509" s="1" t="str">
        <f ca="1">IFERROR(__xludf.DUMFUNCTION("GOOGLETRANSLATE(A5676,""id"",""en"")"),"RIB T -Shirt Premium Arm Order Now Tuesday Indosat afternoon gas station Indra Bekti   Qontol Reply Lontong Doctor Holywings Dita")</f>
        <v>RIB T -Shirt Premium Arm Order Now Tuesday Indosat afternoon gas station Indra Bekti   Qontol Reply Lontong Doctor Holywings Dita</v>
      </c>
    </row>
    <row r="5510" spans="1:2" x14ac:dyDescent="0.2">
      <c r="A5510" s="1" t="s">
        <v>2022</v>
      </c>
      <c r="B5510" s="1" t="str">
        <f ca="1">IFERROR(__xludf.DUMFUNCTION("GOOGLETRANSLATE(A5677,""id"",""en"")"),"Sulawesi Difficult BBM Masuj  Questioned Difficult to Life of Indonesia")</f>
        <v>Sulawesi Difficult BBM Masuj  Questioned Difficult to Life of Indonesia</v>
      </c>
    </row>
    <row r="5511" spans="1:2" x14ac:dyDescent="0.2">
      <c r="A5511" s="1" t="s">
        <v>5573</v>
      </c>
      <c r="B5511" s="1" t="str">
        <f ca="1">IFERROR(__xludf.DUMFUNCTION("GOOGLETRANSLATE(A5678,""id"",""en"")"),"mba template mba amp mas sir spbum times I paid cashless   amp link offline sis")</f>
        <v>mba template mba amp mas sir spbum times I paid cashless   amp link offline sis</v>
      </c>
    </row>
    <row r="5512" spans="1:2" x14ac:dyDescent="0.2">
      <c r="A5512" s="1" t="s">
        <v>2023</v>
      </c>
      <c r="B5512" s="1" t="str">
        <f ca="1">IFERROR(__xludf.DUMFUNCTION("GOOGLETRANSLATE(A5679,""id"",""en"")"),"Already testing the limit for the use of solar pertalite criteria that  juridical rights regulatory regulatory rights")</f>
        <v>Already testing the limit for the use of solar pertalite criteria that  juridical rights regulatory regulatory rights</v>
      </c>
    </row>
    <row r="5513" spans="1:2" x14ac:dyDescent="0.2">
      <c r="A5513" s="1" t="s">
        <v>2024</v>
      </c>
      <c r="B5513" s="1" t="str">
        <f ca="1">IFERROR(__xludf.DUMFUNCTION("GOOGLETRANSLATE(A5680,""id"",""en"")")," Directors' Salary Salary Rights for Hundred Million Months")</f>
        <v xml:space="preserve"> Directors' Salary Salary Rights for Hundred Million Months</v>
      </c>
    </row>
    <row r="5514" spans="1:2" x14ac:dyDescent="0.2">
      <c r="A5514" s="1" t="s">
        <v>5574</v>
      </c>
      <c r="B5514" s="1" t="str">
        <f ca="1">IFERROR(__xludf.DUMFUNCTION("GOOGLETRANSLATE(A5681,""id"",""en"")"),"PT  Persero Testing Trial Buying BBM Subsidies of the Kendara  Application")</f>
        <v>PT  Persero Testing Trial Buying BBM Subsidies of the Kendara  Application</v>
      </c>
    </row>
    <row r="5515" spans="1:2" x14ac:dyDescent="0.2">
      <c r="A5515" s="1" t="s">
        <v>2025</v>
      </c>
      <c r="B5515" s="1" t="str">
        <f ca="1">IFERROR(__xludf.DUMFUNCTION("GOOGLETRANSLATE(A5682,""id"",""en"")"),"Liter oil spilled Cilacap Water Steps ")</f>
        <v xml:space="preserve">Liter oil spilled Cilacap Water Steps </v>
      </c>
    </row>
    <row r="5516" spans="1:2" x14ac:dyDescent="0.2">
      <c r="A5516" s="1" t="s">
        <v>2026</v>
      </c>
      <c r="B5516" s="1" t="str">
        <f ca="1">IFERROR(__xludf.DUMFUNCTION("GOOGLETRANSLATE(A5683,""id"",""en"")"),"Set  Buy Pertalite List of Breeddown Applications that are Breamed Alias ​​Ruwet")</f>
        <v>Set  Buy Pertalite List of Breeddown Applications that are Breamed Alias ​​Ruwet</v>
      </c>
    </row>
    <row r="5517" spans="1:2" x14ac:dyDescent="0.2">
      <c r="A5517" s="1" t="s">
        <v>2027</v>
      </c>
      <c r="B5517" s="1" t="str">
        <f ca="1">IFERROR(__xludf.DUMFUNCTION("GOOGLETRANSLATE(A5684,""id"",""en"")"),"Kakean Cocot  EMG")</f>
        <v>Kakean Cocot  EMG</v>
      </c>
    </row>
    <row r="5518" spans="1:2" x14ac:dyDescent="0.2">
      <c r="A5518" s="1" t="s">
        <v>2028</v>
      </c>
      <c r="B5518" s="1" t="str">
        <f ca="1">IFERROR(__xludf.DUMFUNCTION("GOOGLETRANSLATE(A5685,""id"",""en"")"),"resin, so I don't download .")</f>
        <v>resin, so I don't download .</v>
      </c>
    </row>
    <row r="5519" spans="1:2" x14ac:dyDescent="0.2">
      <c r="A5519" s="1" t="s">
        <v>2029</v>
      </c>
      <c r="B5519" s="1" t="str">
        <f ca="1">IFERROR(__xludf.DUMFUNCTION("GOOGLETRANSLATE(A5686,""id"",""en"")"),"if the framing is big data, why is it difficult to be wise to access 's access to a country not private")</f>
        <v>if the framing is big data, why is it difficult to be wise to access 's access to a country not private</v>
      </c>
    </row>
    <row r="5520" spans="1:2" x14ac:dyDescent="0.2">
      <c r="A5520" s="1" t="s">
        <v>2030</v>
      </c>
      <c r="B5520" s="1" t="str">
        <f ca="1">IFERROR(__xludf.DUMFUNCTION("GOOGLETRANSLATE(A5687,""id"",""en"")")," is already a lot of Spotify Kudu Subscribe")</f>
        <v xml:space="preserve"> is already a lot of Spotify Kudu Subscribe</v>
      </c>
    </row>
    <row r="5521" spans="1:2" x14ac:dyDescent="0.2">
      <c r="A5521" s="1" t="s">
        <v>5575</v>
      </c>
      <c r="B5521" s="1" t="str">
        <f ca="1">IFERROR(__xludf.DUMFUNCTION("GOOGLETRANSLATE(A5688,""id"",""en"")"),"otw download   wkwkwkw like the category of pertalite subsidies")</f>
        <v>otw download   wkwkwkw like the category of pertalite subsidies</v>
      </c>
    </row>
    <row r="5522" spans="1:2" x14ac:dyDescent="0.2">
      <c r="A5522" s="1" t="s">
        <v>688</v>
      </c>
      <c r="B5522" s="1" t="str">
        <f ca="1">IFERROR(__xludf.DUMFUNCTION("GOOGLETRANSLATE(A5689,""id"",""en"")"),"Oalah")</f>
        <v>Oalah</v>
      </c>
    </row>
    <row r="5523" spans="1:2" x14ac:dyDescent="0.2">
      <c r="A5523" s="1" t="s">
        <v>5576</v>
      </c>
      <c r="B5523" s="1" t="str">
        <f ca="1">IFERROR(__xludf.DUMFUNCTION("GOOGLETRANSLATE(A5690,""id"",""en"")"),"Tired of startup acquisition user user burn fast free money using wise power of protection caring for   also followed")</f>
        <v>Tired of startup acquisition user user burn fast free money using wise power of protection caring for   also followed</v>
      </c>
    </row>
    <row r="5524" spans="1:2" x14ac:dyDescent="0.2">
      <c r="A5524" s="1" t="s">
        <v>2031</v>
      </c>
      <c r="B5524" s="1" t="str">
        <f ca="1">IFERROR(__xludf.DUMFUNCTION("GOOGLETRANSLATE(A5691,""id"",""en"")")," The Selling process is not strong enough to pay the debt")</f>
        <v xml:space="preserve"> The Selling process is not strong enough to pay the debt</v>
      </c>
    </row>
    <row r="5525" spans="1:2" x14ac:dyDescent="0.2">
      <c r="A5525" s="1" t="s">
        <v>689</v>
      </c>
      <c r="B5525" s="1" t="str">
        <f ca="1">IFERROR(__xludf.DUMFUNCTION("GOOGLETRANSLATE(A5692,""id"",""en"")"),"wise ustadz wise buying bbm people's applications are difficult")</f>
        <v>wise ustadz wise buying bbm people's applications are difficult</v>
      </c>
    </row>
    <row r="5526" spans="1:2" x14ac:dyDescent="0.2">
      <c r="A5526" s="1" t="s">
        <v>2032</v>
      </c>
      <c r="B5526" s="1" t="str">
        <f ca="1">IFERROR(__xludf.DUMFUNCTION("GOOGLETRANSLATE(A5693,""id"",""en"")"),"The Era Digitalization Buy Cooking Oil Cares Cares Protection Buy Gasoline Application Dmna prohibits Make HP  KTP Photocopy Entering the Industry and Absolute Power of Station")</f>
        <v>The Era Digitalization Buy Cooking Oil Cares Cares Protection Buy Gasoline Application Dmna prohibits Make HP  KTP Photocopy Entering the Industry and Absolute Power of Station</v>
      </c>
    </row>
    <row r="5527" spans="1:2" x14ac:dyDescent="0.2">
      <c r="A5527" s="1" t="s">
        <v>5577</v>
      </c>
      <c r="B5527" s="1" t="str">
        <f ca="1">IFERROR(__xludf.DUMFUNCTION("GOOGLETRANSLATE(A5694,""id"",""en"")"),"bothering to be pertalite using the   application")</f>
        <v>bothering to be pertalite using the   application</v>
      </c>
    </row>
    <row r="5528" spans="1:2" x14ac:dyDescent="0.2">
      <c r="A5528" s="1" t="s">
        <v>5578</v>
      </c>
      <c r="B5528" s="1" t="str">
        <f ca="1">IFERROR(__xludf.DUMFUNCTION("GOOGLETRANSLATE(A5695,""id"",""en"")"),"The gas station is going to play the cellphone, show  ")</f>
        <v xml:space="preserve">The gas station is going to play the cellphone, show  </v>
      </c>
    </row>
    <row r="5529" spans="1:2" x14ac:dyDescent="0.2">
      <c r="A5529" s="1" t="s">
        <v>2033</v>
      </c>
      <c r="B5529" s="1" t="str">
        <f ca="1">IFERROR(__xludf.DUMFUNCTION("GOOGLETRANSLATE(A5696,""id"",""en"")"),"Hi buddy information procedures for buying bbk bbk  buddy, send direct message dm twitter help complete information, thank you Tony")</f>
        <v>Hi buddy information procedures for buying bbk bbk  buddy, send direct message dm twitter help complete information, thank you Tony</v>
      </c>
    </row>
    <row r="5530" spans="1:2" x14ac:dyDescent="0.2">
      <c r="A5530" s="1" t="s">
        <v>2034</v>
      </c>
      <c r="B5530" s="1" t="str">
        <f ca="1">IFERROR(__xludf.DUMFUNCTION("GOOGLETRANSLATE(A5697,""id"",""en"")"),"PT  Patra Niaga Mandatory Community Buying List of Fuel Fuel Fuel Pertalite Solar July List of Points of News News")</f>
        <v>PT  Patra Niaga Mandatory Community Buying List of Fuel Fuel Fuel Pertalite Solar July List of Points of News News</v>
      </c>
    </row>
    <row r="5531" spans="1:2" x14ac:dyDescent="0.2">
      <c r="A5531" s="1" t="s">
        <v>690</v>
      </c>
      <c r="B5531" s="1" t="str">
        <f ca="1">IFERROR(__xludf.DUMFUNCTION("GOOGLETRANSLATE(A5698,""id"",""en"")"),"oh okay okay, thanks for the info")</f>
        <v>oh okay okay, thanks for the info</v>
      </c>
    </row>
    <row r="5532" spans="1:2" x14ac:dyDescent="0.2">
      <c r="A5532" s="1" t="s">
        <v>2035</v>
      </c>
      <c r="B5532" s="1" t="str">
        <f ca="1">IFERROR(__xludf.DUMFUNCTION("GOOGLETRANSLATE(A5699,""id"",""en"")"),"crude oil cilacap water hns cilacap  pollution of cilacap")</f>
        <v>crude oil cilacap water hns cilacap  pollution of cilacap</v>
      </c>
    </row>
    <row r="5533" spans="1:2" x14ac:dyDescent="0.2">
      <c r="A5533" s="1" t="s">
        <v>2036</v>
      </c>
      <c r="B5533" s="1" t="str">
        <f ca="1">IFERROR(__xludf.DUMFUNCTION("GOOGLETRANSLATE(A5700,""id"",""en"")"),"Shell Gag Make ")</f>
        <v xml:space="preserve">Shell Gag Make </v>
      </c>
    </row>
    <row r="5534" spans="1:2" x14ac:dyDescent="0.2">
      <c r="A5534" s="1" t="s">
        <v>2037</v>
      </c>
      <c r="B5534" s="1" t="str">
        <f ca="1">IFERROR(__xludf.DUMFUNCTION("GOOGLETRANSLATE(A5701,""id"",""en"")"),"Asww,  city is more complicated, ")</f>
        <v xml:space="preserve">Asww,  city is more complicated, </v>
      </c>
    </row>
    <row r="5535" spans="1:2" x14ac:dyDescent="0.2">
      <c r="A5535" s="1" t="s">
        <v>5579</v>
      </c>
      <c r="B5535" s="1" t="str">
        <f ca="1">IFERROR(__xludf.DUMFUNCTION("GOOGLETRANSLATE(A5702,""id"",""en"")"),"The burden of the people if  loses Commissioner Amp Minister of Changing responsibility in front of the law of   fee who takes forced the people to spy the difficult people")</f>
        <v>The burden of the people if  loses Commissioner Amp Minister of Changing responsibility in front of the law of   fee who takes forced the people to spy the difficult people</v>
      </c>
    </row>
    <row r="5536" spans="1:2" x14ac:dyDescent="0.2">
      <c r="A5536" s="1" t="s">
        <v>2038</v>
      </c>
      <c r="B5536" s="1" t="str">
        <f ca="1">IFERROR(__xludf.DUMFUNCTION("GOOGLETRANSLATE(A5703,""id"",""en"")"),"Those who understand the law do not sue ")</f>
        <v xml:space="preserve">Those who understand the law do not sue </v>
      </c>
    </row>
    <row r="5537" spans="1:2" x14ac:dyDescent="0.2">
      <c r="A5537" s="1" t="s">
        <v>2017</v>
      </c>
      <c r="B5537" s="1" t="str">
        <f ca="1">IFERROR(__xludf.DUMFUNCTION("GOOGLETRANSLATE(A5704,""id"",""en"")"),"spill 's cilacap water oil")</f>
        <v>spill 's cilacap water oil</v>
      </c>
    </row>
    <row r="5538" spans="1:2" x14ac:dyDescent="0.2">
      <c r="A5538" s="1" t="s">
        <v>5580</v>
      </c>
      <c r="B5538" s="1" t="str">
        <f ca="1">IFERROR(__xludf.DUMFUNCTION("GOOGLETRANSLATE(A5705,""id"",""en"")")," trials to buy fuel fuel fuel fuel subsidies for consumer solar systems list of  systems Friday July")</f>
        <v xml:space="preserve"> trials to buy fuel fuel fuel fuel subsidies for consumer solar systems list of  systems Friday July</v>
      </c>
    </row>
    <row r="5539" spans="1:2" x14ac:dyDescent="0.2">
      <c r="A5539" s="1" t="s">
        <v>691</v>
      </c>
      <c r="B5539" s="1" t="str">
        <f ca="1">IFERROR(__xludf.DUMFUNCTION("GOOGLETRANSLATE(A5706,""id"",""en"")"),"this is crowded with eMG Bogor already")</f>
        <v>this is crowded with eMG Bogor already</v>
      </c>
    </row>
    <row r="5540" spans="1:2" x14ac:dyDescent="0.2">
      <c r="A5540" s="1" t="s">
        <v>2039</v>
      </c>
      <c r="B5540" s="1" t="str">
        <f ca="1">IFERROR(__xludf.DUMFUNCTION("GOOGLETRANSLATE(A5707,""id"",""en"")"),"Fill in gasoline must use  Android cellphone, not cellphone, not miserable")</f>
        <v>Fill in gasoline must use  Android cellphone, not cellphone, not miserable</v>
      </c>
    </row>
    <row r="5541" spans="1:2" x14ac:dyDescent="0.2">
      <c r="A5541" s="1" t="s">
        <v>1305</v>
      </c>
      <c r="B5541" s="1" t="str">
        <f ca="1">IFERROR(__xludf.DUMFUNCTION("GOOGLETRANSLATE(A5708,""id"",""en"")"),"If so  delete the sign")</f>
        <v>If so  delete the sign</v>
      </c>
    </row>
    <row r="5542" spans="1:2" x14ac:dyDescent="0.2">
      <c r="A5542" s="1" t="s">
        <v>5581</v>
      </c>
      <c r="B5542" s="1" t="str">
        <f ca="1">IFERROR(__xludf.DUMFUNCTION("GOOGLETRANSLATE(A5709,""id"",""en"")"),"Duku pays using   to be allowed when the phone is the type of application")</f>
        <v>Duku pays using   to be allowed when the phone is the type of application</v>
      </c>
    </row>
    <row r="5543" spans="1:2" x14ac:dyDescent="0.2">
      <c r="A5543" s="1" t="s">
        <v>2040</v>
      </c>
      <c r="B5543" s="1" t="str">
        <f ca="1">IFERROR(__xludf.DUMFUNCTION("GOOGLETRANSLATE(A5710,""id"",""en"")"),"Fast form of Indonesian Electricity Kendara Ecosystem Collaboration Collaboration of Private BUMN Electrum  Gogoro Gesits Bangkitbersamaet")</f>
        <v>Fast form of Indonesian Electricity Kendara Ecosystem Collaboration Collaboration of Private BUMN Electrum  Gogoro Gesits Bangkitbersamaet</v>
      </c>
    </row>
    <row r="5544" spans="1:2" x14ac:dyDescent="0.2">
      <c r="A5544" s="1" t="s">
        <v>692</v>
      </c>
      <c r="B5544" s="1" t="str">
        <f ca="1">IFERROR(__xludf.DUMFUNCTION("GOOGLETRANSLATE(A5711,""id"",""en"")"),"Kill the Teaching of the Pangkal Andan Police Fajar Picks the School Victims Until the TKP Conducted")</f>
        <v>Kill the Teaching of the Pangkal Andan Police Fajar Picks the School Victims Until the TKP Conducted</v>
      </c>
    </row>
    <row r="5545" spans="1:2" x14ac:dyDescent="0.2">
      <c r="A5545" s="1" t="s">
        <v>2041</v>
      </c>
      <c r="B5545" s="1" t="str">
        <f ca="1">IFERROR(__xludf.DUMFUNCTION("GOOGLETRANSLATE(A5713,""id"",""en"")"),"Complete Info Visit  Call Center Increases")</f>
        <v>Complete Info Visit  Call Center Increases</v>
      </c>
    </row>
    <row r="5546" spans="1:2" x14ac:dyDescent="0.2">
      <c r="A5546" s="1" t="s">
        <v>693</v>
      </c>
      <c r="B5546" s="1" t="str">
        <f ca="1">IFERROR(__xludf.DUMFUNCTION("GOOGLETRANSLATE(A5714,""id"",""en"")"),"the BOD Commissioner thinks about the regulating the heavy fuel subsidies of the people withdrawing policy")</f>
        <v>the BOD Commissioner thinks about the regulating the heavy fuel subsidies of the people withdrawing policy</v>
      </c>
    </row>
    <row r="5547" spans="1:2" x14ac:dyDescent="0.2">
      <c r="A5547" s="1" t="s">
        <v>2042</v>
      </c>
      <c r="B5547" s="1" t="str">
        <f ca="1">IFERROR(__xludf.DUMFUNCTION("GOOGLETRANSLATE(A5715,""id"",""en"")"),"'s class thinks I can't really stupid")</f>
        <v>'s class thinks I can't really stupid</v>
      </c>
    </row>
    <row r="5548" spans="1:2" x14ac:dyDescent="0.2">
      <c r="A5548" s="1" t="s">
        <v>2043</v>
      </c>
      <c r="B5548" s="1" t="str">
        <f ca="1">IFERROR(__xludf.DUMFUNCTION("GOOGLETRANSLATE(A5716,""id"",""en"")"),"If  is obliged to be digital, how do you not understand that, it's really not dangerous")</f>
        <v>If  is obliged to be digital, how do you not understand that, it's really not dangerous</v>
      </c>
    </row>
    <row r="5549" spans="1:2" x14ac:dyDescent="0.2">
      <c r="A5549" s="1" t="s">
        <v>5582</v>
      </c>
      <c r="B5549" s="1" t="str">
        <f ca="1">IFERROR(__xludf.DUMFUNCTION("GOOGLETRANSLATE(A5717,""id"",""en"")"),"JULY BUY  SOLAR List Application List Check Link List  ")</f>
        <v xml:space="preserve">JULY BUY  SOLAR List Application List Check Link List  </v>
      </c>
    </row>
    <row r="5550" spans="1:2" x14ac:dyDescent="0.2">
      <c r="A5550" s="1" t="s">
        <v>2044</v>
      </c>
      <c r="B5550" s="1" t="str">
        <f ca="1">IFERROR(__xludf.DUMFUNCTION("GOOGLETRANSLATE(A5718,""id"",""en"")")," kaga playing  city cellphone on the list of deuuuhh")</f>
        <v xml:space="preserve"> kaga playing  city cellphone on the list of deuuuhh</v>
      </c>
    </row>
    <row r="5551" spans="1:2" x14ac:dyDescent="0.2">
      <c r="A5551" s="1" t="s">
        <v>2045</v>
      </c>
      <c r="B5551" s="1" t="str">
        <f ca="1">IFERROR(__xludf.DUMFUNCTION("GOOGLETRANSLATE(A5719,""id"",""en"")"),"you know complete information or not a cellphone buy fuel subsidy police number Kendara number plate number  DATABASE VERIFICATION READ PAIK PAY NOT MANDATORY APK APK CASH")</f>
        <v>you know complete information or not a cellphone buy fuel subsidy police number Kendara number plate number  DATABASE VERIFICATION READ PAIK PAY NOT MANDATORY APK APK CASH</v>
      </c>
    </row>
    <row r="5552" spans="1:2" x14ac:dyDescent="0.2">
      <c r="A5552" s="1" t="s">
        <v>694</v>
      </c>
      <c r="B5552" s="1" t="str">
        <f ca="1">IFERROR(__xludf.DUMFUNCTION("GOOGLETRANSLATE(A5720,""id"",""en"")"),"Pas, the gas station is active")</f>
        <v>Pas, the gas station is active</v>
      </c>
    </row>
    <row r="5553" spans="1:2" x14ac:dyDescent="0.2">
      <c r="A5553" s="1" t="s">
        <v>695</v>
      </c>
      <c r="B5553" s="1" t="str">
        <f ca="1">IFERROR(__xludf.DUMFUNCTION("GOOGLETRANSLATE(A5721,""id"",""en"")"),"gas stations write cashback using the task of spbunya gatau")</f>
        <v>gas stations write cashback using the task of spbunya gatau</v>
      </c>
    </row>
    <row r="5554" spans="1:2" x14ac:dyDescent="0.2">
      <c r="A5554" s="1" t="s">
        <v>696</v>
      </c>
      <c r="B5554" s="1" t="str">
        <f ca="1">IFERROR(__xludf.DUMFUNCTION("GOOGLETRANSLATE(A5722,""id"",""en"")"),"Sidoarjo, East Java, if the night of the nosel pertalite is closed")</f>
        <v>Sidoarjo, East Java, if the night of the nosel pertalite is closed</v>
      </c>
    </row>
    <row r="5555" spans="1:2" x14ac:dyDescent="0.2">
      <c r="A5555" s="1" t="s">
        <v>2046</v>
      </c>
      <c r="B5555" s="1" t="str">
        <f ca="1">IFERROR(__xludf.DUMFUNCTION("GOOGLETRANSLATE(A5724,""id"",""en"")"),"can adjust to buy pertalite using the  application scan, people are already on the gas station, it makes the cellphone, it's like")</f>
        <v>can adjust to buy pertalite using the  application scan, people are already on the gas station, it makes the cellphone, it's like</v>
      </c>
    </row>
    <row r="5556" spans="1:2" x14ac:dyDescent="0.2">
      <c r="A5556" s="1" t="s">
        <v>5530</v>
      </c>
      <c r="B5556" s="1" t="str">
        <f ca="1">IFERROR(__xludf.DUMFUNCTION("GOOGLETRANSLATE(A5725,""id"",""en"")")," is tight requirements for buying fuel Pertalite Solar, one of  to buy  fuel")</f>
        <v xml:space="preserve"> is tight requirements for buying fuel Pertalite Solar, one of  to buy  fuel</v>
      </c>
    </row>
    <row r="5557" spans="1:2" x14ac:dyDescent="0.2">
      <c r="A5557" s="1" t="s">
        <v>2047</v>
      </c>
      <c r="B5557" s="1" t="str">
        <f ca="1">IFERROR(__xludf.DUMFUNCTION("GOOGLETRANSLATE(A5726,""id"",""en"")"),"Donit Dhuafa Install  Orphan")</f>
        <v>Donit Dhuafa Install  Orphan</v>
      </c>
    </row>
    <row r="5558" spans="1:2" x14ac:dyDescent="0.2">
      <c r="A5558" s="1" t="s">
        <v>2048</v>
      </c>
      <c r="B5558" s="1" t="str">
        <f ca="1">IFERROR(__xludf.DUMFUNCTION("GOOGLETRANSLATE(A5727,""id"",""en"")"),"the valid ones who mom in junior high school that samsung gala young use the mamah series using a sedan, the bell is going home, waiting for the school's car from 's car home Sunday, the Gedong Kek Rumah Kek soap opera plane")</f>
        <v>the valid ones who mom in junior high school that samsung gala young use the mamah series using a sedan, the bell is going home, waiting for the school's car from 's car home Sunday, the Gedong Kek Rumah Kek soap opera plane</v>
      </c>
    </row>
    <row r="5559" spans="1:2" x14ac:dyDescent="0.2">
      <c r="A5559" s="1" t="s">
        <v>5583</v>
      </c>
      <c r="B5559" s="1" t="str">
        <f ca="1">IFERROR(__xludf.DUMFUNCTION("GOOGLETRANSLATE(A5728,""id"",""en"")"),"buy must show you already downloaded  ")</f>
        <v xml:space="preserve">buy must show you already downloaded  </v>
      </c>
    </row>
    <row r="5560" spans="1:2" x14ac:dyDescent="0.2">
      <c r="A5560" s="1" t="s">
        <v>5584</v>
      </c>
      <c r="B5560" s="1" t="str">
        <f ca="1">IFERROR(__xludf.DUMFUNCTION("GOOGLETRANSLATE(A5729,""id"",""en"")"),"Okay Petelite Using  ")</f>
        <v xml:space="preserve">Okay Petelite Using  </v>
      </c>
    </row>
    <row r="5561" spans="1:2" x14ac:dyDescent="0.2">
      <c r="A5561" s="1" t="s">
        <v>697</v>
      </c>
      <c r="B5561" s="1" t="str">
        <f ca="1">IFERROR(__xludf.DUMFUNCTION("GOOGLETRANSLATE(A5730,""id"",""en"")"),"not at night not daytime")</f>
        <v>not at night not daytime</v>
      </c>
    </row>
    <row r="5562" spans="1:2" x14ac:dyDescent="0.2">
      <c r="A5562" s="1" t="s">
        <v>2049</v>
      </c>
      <c r="B5562" s="1" t="str">
        <f ca="1">IFERROR(__xludf.DUMFUNCTION("GOOGLETRANSLATE(A5731,""id"",""en"")"),"Difficult to rare cooking oil, shadow, the shadow of buying 's fuel")</f>
        <v>Difficult to rare cooking oil, shadow, the shadow of buying 's fuel</v>
      </c>
    </row>
    <row r="5563" spans="1:2" x14ac:dyDescent="0.2">
      <c r="A5563" s="1" t="s">
        <v>5585</v>
      </c>
      <c r="B5563" s="1" t="str">
        <f ca="1">IFERROR(__xludf.DUMFUNCTION("GOOGLETRANSLATE(A5732,""id"",""en"")"),"  Pertamax Bright Gas Giveaway Tebakanasik rjbt  House of Shrub Glass Salam Salam Rindu Read Salam Success Moga Untung")</f>
        <v xml:space="preserve">  Pertamax Bright Gas Giveaway Tebakanasik rjbt  House of Shrub Glass Salam Salam Rindu Read Salam Success Moga Untung</v>
      </c>
    </row>
    <row r="5564" spans="1:2" x14ac:dyDescent="0.2">
      <c r="A5564" s="1" t="s">
        <v>5035</v>
      </c>
      <c r="B5564" s="1" t="str">
        <f ca="1">IFERROR(__xludf.DUMFUNCTION("GOOGLETRANSLATE(A5733,""id"",""en"")"),"FYI GAES SPBU  ")</f>
        <v xml:space="preserve">FYI GAES SPBU  </v>
      </c>
    </row>
    <row r="5565" spans="1:2" x14ac:dyDescent="0.2">
      <c r="A5565" s="1" t="s">
        <v>698</v>
      </c>
      <c r="B5565" s="1" t="str">
        <f ca="1">IFERROR(__xludf.DUMFUNCTION("GOOGLETRANSLATE(A5734,""id"",""en"")"),"pretend not")</f>
        <v>pretend not</v>
      </c>
    </row>
    <row r="5566" spans="1:2" x14ac:dyDescent="0.2">
      <c r="A5566" s="1" t="s">
        <v>699</v>
      </c>
      <c r="B5566" s="1" t="str">
        <f ca="1">IFERROR(__xludf.DUMFUNCTION("GOOGLETRANSLATE(A5735,""id"",""en"")"),"how do you fill the gasoline gasoline, the lights have left the lamp, just fill it up, waiting for the minute")</f>
        <v>how do you fill the gasoline gasoline, the lights have left the lamp, just fill it up, waiting for the minute</v>
      </c>
    </row>
    <row r="5567" spans="1:2" x14ac:dyDescent="0.2">
      <c r="A5567" s="1" t="s">
        <v>700</v>
      </c>
      <c r="B5567" s="1" t="str">
        <f ca="1">IFERROR(__xludf.DUMFUNCTION("GOOGLETRANSLATE(A5736,""id"",""en"")"),"Forbids Strong Life of the SPBU Area Smartphone Where to Look for Kendara Tax Option or Rejim who is inconsequential to the SPBU CLBE which is responsible")</f>
        <v>Forbids Strong Life of the SPBU Area Smartphone Where to Look for Kendara Tax Option or Rejim who is inconsequential to the SPBU CLBE which is responsible</v>
      </c>
    </row>
    <row r="5568" spans="1:2" x14ac:dyDescent="0.2">
      <c r="A5568" s="1" t="s">
        <v>5586</v>
      </c>
      <c r="B5568" s="1" t="str">
        <f ca="1">IFERROR(__xludf.DUMFUNCTION("GOOGLETRANSLATE(A5737,""id"",""en"")"),"HP Electromagnetic Waves in Calculate Seconds The Waves Megaelectron Volt Electronvolt Map Filling BBM Pakek  ")</f>
        <v xml:space="preserve">HP Electromagnetic Waves in Calculate Seconds The Waves Megaelectron Volt Electronvolt Map Filling BBM Pakek  </v>
      </c>
    </row>
    <row r="5569" spans="1:2" x14ac:dyDescent="0.2">
      <c r="A5569" s="1" t="s">
        <v>5587</v>
      </c>
      <c r="B5569" s="1" t="str">
        <f ca="1">IFERROR(__xludf.DUMFUNCTION("GOOGLETRANSLATE(A5738,""id"",""en"")"),"the country leads the PDI clear, just not the contents")</f>
        <v>the country leads the PDI clear, just not the contents</v>
      </c>
    </row>
    <row r="5570" spans="1:2" x14ac:dyDescent="0.2">
      <c r="A5570" s="1" t="s">
        <v>701</v>
      </c>
      <c r="B5570" s="1" t="str">
        <f ca="1">IFERROR(__xludf.DUMFUNCTION("GOOGLETRANSLATE(A5739,""id"",""en"")"),"selling bbm or selling applications, bro, people are complicated")</f>
        <v>selling bbm or selling applications, bro, people are complicated</v>
      </c>
    </row>
    <row r="5571" spans="1:2" x14ac:dyDescent="0.2">
      <c r="A5571" s="1" t="s">
        <v>702</v>
      </c>
      <c r="B5571" s="1" t="str">
        <f ca="1">IFERROR(__xludf.DUMFUNCTION("GOOGLETRANSLATE(A5741,""id"",""en"")"),"The Communications Team is broad in socialization for HP POMP Gasoline Area")</f>
        <v>The Communications Team is broad in socialization for HP POMP Gasoline Area</v>
      </c>
    </row>
    <row r="5572" spans="1:2" x14ac:dyDescent="0.2">
      <c r="A5572" s="1" t="s">
        <v>2050</v>
      </c>
      <c r="B5572" s="1" t="str">
        <f ca="1">IFERROR(__xludf.DUMFUNCTION("GOOGLETRANSLATE(A5742,""id"",""en"")"),"Watir Pis Ih  is so Hayangna application Na Laku Nepi Ka Forgut Kitu Ka community Cuan Jon Cuan")</f>
        <v>Watir Pis Ih  is so Hayangna application Na Laku Nepi Ka Forgut Kitu Ka community Cuan Jon Cuan</v>
      </c>
    </row>
    <row r="5573" spans="1:2" x14ac:dyDescent="0.2">
      <c r="A5573" s="1" t="s">
        <v>703</v>
      </c>
      <c r="B5573" s="1" t="str">
        <f ca="1">IFERROR(__xludf.DUMFUNCTION("GOOGLETRANSLATE(A5743,""id"",""en"")"),"It's complicated to use monopoly to sell people who are difficult and complicated")</f>
        <v>It's complicated to use monopoly to sell people who are difficult and complicated</v>
      </c>
    </row>
    <row r="5574" spans="1:2" x14ac:dyDescent="0.2">
      <c r="A5574" s="1" t="s">
        <v>5588</v>
      </c>
      <c r="B5574" s="1" t="str">
        <f ca="1">IFERROR(__xludf.DUMFUNCTION("GOOGLETRANSLATE(A5744,""id"",""en"")"),"bro, fill the gasoline gapake   gasih ntar org the application is like that hem")</f>
        <v>bro, fill the gasoline gapake   gasih ntar org the application is like that hem</v>
      </c>
    </row>
    <row r="5575" spans="1:2" x14ac:dyDescent="0.2">
      <c r="A5575" s="1" t="s">
        <v>1001</v>
      </c>
      <c r="B5575" s="1" t="str">
        <f ca="1">IFERROR(__xludf.DUMFUNCTION("GOOGLETRANSLATE(A5745,""id"",""en"")")," era ahok is easy")</f>
        <v xml:space="preserve"> era ahok is easy</v>
      </c>
    </row>
    <row r="5576" spans="1:2" x14ac:dyDescent="0.2">
      <c r="A5576" s="1" t="s">
        <v>704</v>
      </c>
      <c r="B5576" s="1" t="str">
        <f ca="1">IFERROR(__xludf.DUMFUNCTION("GOOGLETRANSLATE(A5746,""id"",""en"")"),"Kendara Motor for Fishermen Farmers etc. BBM subsidies use NIK like a farmer card")</f>
        <v>Kendara Motor for Fishermen Farmers etc. BBM subsidies use NIK like a farmer card</v>
      </c>
    </row>
    <row r="5577" spans="1:2" x14ac:dyDescent="0.2">
      <c r="A5577" s="1" t="s">
        <v>5589</v>
      </c>
      <c r="B5577" s="1" t="str">
        <f ca="1">IFERROR(__xludf.DUMFUNCTION("GOOGLETRANSLATE(A5747,""id"",""en"")"),"  HRS application is synchronous with the link application just a balance")</f>
        <v xml:space="preserve">  HRS application is synchronous with the link application just a balance</v>
      </c>
    </row>
    <row r="5578" spans="1:2" x14ac:dyDescent="0.2">
      <c r="A5578" s="1" t="s">
        <v>5590</v>
      </c>
      <c r="B5578" s="1" t="str">
        <f ca="1">IFERROR(__xludf.DUMFUNCTION("GOOGLETRANSLATE(A5748,""id"",""en"")"),"Buy  Solar Using  Easily, it is not complicated.")</f>
        <v>Buy  Solar Using  Easily, it is not complicated.</v>
      </c>
    </row>
    <row r="5579" spans="1:2" x14ac:dyDescent="0.2">
      <c r="A5579" s="1" t="s">
        <v>2051</v>
      </c>
      <c r="B5579" s="1" t="str">
        <f ca="1">IFERROR(__xludf.DUMFUNCTION("GOOGLETRANSLATE(A5749,""id"",""en"")"),"Information Click Link Sariagri Facts of 's Agridaily Energy Agridaily")</f>
        <v>Information Click Link Sariagri Facts of 's Agridaily Energy Agridaily</v>
      </c>
    </row>
    <row r="5580" spans="1:2" x14ac:dyDescent="0.2">
      <c r="A5580" s="1" t="s">
        <v>5591</v>
      </c>
      <c r="B5580" s="1" t="str">
        <f ca="1">IFERROR(__xludf.DUMFUNCTION("GOOGLETRANSLATE(A5750,""id"",""en"")")," Test Trial Buy BBM  West Java")</f>
        <v xml:space="preserve"> Test Trial Buy BBM  West Java</v>
      </c>
    </row>
    <row r="5581" spans="1:2" x14ac:dyDescent="0.2">
      <c r="A5581" s="1" t="s">
        <v>705</v>
      </c>
      <c r="B5581" s="1" t="str">
        <f ca="1">IFERROR(__xludf.DUMFUNCTION("GOOGLETRANSLATE(A5751,""id"",""en"")"),"Bodor ah")</f>
        <v>Bodor ah</v>
      </c>
    </row>
    <row r="5582" spans="1:2" x14ac:dyDescent="0.2">
      <c r="A5582" s="1" t="s">
        <v>1001</v>
      </c>
      <c r="B5582" s="1" t="str">
        <f ca="1">IFERROR(__xludf.DUMFUNCTION("GOOGLETRANSLATE(A5752,""id"",""en"")")," era ahok is easy")</f>
        <v xml:space="preserve"> era ahok is easy</v>
      </c>
    </row>
    <row r="5583" spans="1:2" x14ac:dyDescent="0.2">
      <c r="A5583" s="1" t="s">
        <v>5592</v>
      </c>
      <c r="B5583" s="1" t="str">
        <f ca="1">IFERROR(__xludf.DUMFUNCTION("GOOGLETRANSLATE(A5753,""id"",""en"")"),"btw   just pay using the link")</f>
        <v>btw   just pay using the link</v>
      </c>
    </row>
    <row r="5584" spans="1:2" x14ac:dyDescent="0.2">
      <c r="A5584" s="1" t="s">
        <v>2052</v>
      </c>
      <c r="B5584" s="1" t="str">
        <f ca="1">IFERROR(__xludf.DUMFUNCTION("GOOGLETRANSLATE(A5754,""id"",""en"")"),"Langgar Sayan Consumer Modification of the Holy SPBU BBM Tank Sanctions ")</f>
        <v xml:space="preserve">Langgar Sayan Consumer Modification of the Holy SPBU BBM Tank Sanctions </v>
      </c>
    </row>
    <row r="5585" spans="1:2" x14ac:dyDescent="0.2">
      <c r="A5585" s="1" t="s">
        <v>2053</v>
      </c>
      <c r="B5585" s="1" t="str">
        <f ca="1">IFERROR(__xludf.DUMFUNCTION("GOOGLETRANSLATE(A5755,""id"",""en"")")," Makes App Requirement for Buying Subsidized Fuel Oil")</f>
        <v xml:space="preserve"> Makes App Requirement for Buying Subsidized Fuel Oil</v>
      </c>
    </row>
    <row r="5586" spans="1:2" x14ac:dyDescent="0.2">
      <c r="A5586" s="1" t="s">
        <v>2054</v>
      </c>
      <c r="B5586" s="1" t="str">
        <f ca="1">IFERROR(__xludf.DUMFUNCTION("GOOGLETRANSLATE(A5756,""id"",""en"")")," Society Pertalite Solar Rights List Data List Wait for Kendara Identity Confirmation for List")</f>
        <v xml:space="preserve"> Society Pertalite Solar Rights List Data List Wait for Kendara Identity Confirmation for List</v>
      </c>
    </row>
    <row r="5587" spans="1:2" x14ac:dyDescent="0.2">
      <c r="A5587" s="1" t="s">
        <v>2055</v>
      </c>
      <c r="B5587" s="1" t="str">
        <f ca="1">IFERROR(__xludf.DUMFUNCTION("GOOGLETRANSLATE(A5757,""id"",""en"")")," Evil Apus Application")</f>
        <v xml:space="preserve"> Evil Apus Application</v>
      </c>
    </row>
    <row r="5588" spans="1:2" x14ac:dyDescent="0.2">
      <c r="A5588" s="1" t="s">
        <v>5593</v>
      </c>
      <c r="B5588" s="1" t="str">
        <f ca="1">IFERROR(__xludf.DUMFUNCTION("GOOGLETRANSLATE(A5758,""id"",""en"")"),"server   hangs traffic ny padet together")</f>
        <v>server   hangs traffic ny padet together</v>
      </c>
    </row>
    <row r="5589" spans="1:2" x14ac:dyDescent="0.2">
      <c r="A5589" s="1" t="s">
        <v>706</v>
      </c>
      <c r="B5589" s="1" t="str">
        <f ca="1">IFERROR(__xludf.DUMFUNCTION("GOOGLETRANSLATE(A5759,""id"",""en"")"),"Gas Station Register Buy BUY DG NOPOL NIK SIM ACCORDING TO LOGIC LOGIC LIMITS")</f>
        <v>Gas Station Register Buy BUY DG NOPOL NIK SIM ACCORDING TO LOGIC LOGIC LIMITS</v>
      </c>
    </row>
    <row r="5590" spans="1:2" x14ac:dyDescent="0.2">
      <c r="A5590" s="1" t="s">
        <v>707</v>
      </c>
      <c r="B5590" s="1" t="str">
        <f ca="1">IFERROR(__xludf.DUMFUNCTION("GOOGLETRANSLATE(A5760,""id"",""en"")"),"you know the news when you're going home, see the Jabar gas station, if the car is noted the max subsidy")</f>
        <v>you know the news when you're going home, see the Jabar gas station, if the car is noted the max subsidy</v>
      </c>
    </row>
    <row r="5591" spans="1:2" x14ac:dyDescent="0.2">
      <c r="A5591" s="1" t="s">
        <v>5594</v>
      </c>
      <c r="B5591" s="1" t="str">
        <f ca="1">IFERROR(__xludf.DUMFUNCTION("GOOGLETRANSLATE(A5761,""id"",""en"")"),"just now install the  app on July, buy a fuel type of solar pertalite using the application, please pay for the option to pay the link, just don't use paying using it, yes")</f>
        <v>just now install the  app on July, buy a fuel type of solar pertalite using the application, please pay for the option to pay the link, just don't use paying using it, yes</v>
      </c>
    </row>
    <row r="5592" spans="1:2" x14ac:dyDescent="0.2">
      <c r="A5592" s="1" t="s">
        <v>708</v>
      </c>
      <c r="B5592" s="1" t="str">
        <f ca="1">IFERROR(__xludf.DUMFUNCTION("GOOGLETRANSLATE(A5762,""id"",""en"")"),"Change the Kendara Ecosystem can be a friendly friendly solution of the Minister")</f>
        <v>Change the Kendara Ecosystem can be a friendly friendly solution of the Minister</v>
      </c>
    </row>
    <row r="5593" spans="1:2" x14ac:dyDescent="0.2">
      <c r="A5593" s="1" t="s">
        <v>709</v>
      </c>
      <c r="B5593" s="1" t="str">
        <f ca="1">IFERROR(__xludf.DUMFUNCTION("GOOGLETRANSLATE(A5763,""id"",""en"")"),"CC wisely awesome")</f>
        <v>CC wisely awesome</v>
      </c>
    </row>
    <row r="5594" spans="1:2" x14ac:dyDescent="0.2">
      <c r="A5594" s="1" t="s">
        <v>5595</v>
      </c>
      <c r="B5594" s="1" t="str">
        <f ca="1">IFERROR(__xludf.DUMFUNCTION("GOOGLETRANSLATE(A5764,""id"",""en"")")," has already tested the costumer")</f>
        <v xml:space="preserve"> has already tested the costumer</v>
      </c>
    </row>
    <row r="5595" spans="1:2" x14ac:dyDescent="0.2">
      <c r="A5595" s="1" t="s">
        <v>2056</v>
      </c>
      <c r="B5595" s="1" t="str">
        <f ca="1">IFERROR(__xludf.DUMFUNCTION("GOOGLETRANSLATE(A5766,""id"",""en"")"),"Enter 's pile depot refinery, bro, if you know that SOP doesn't talk like that if it's good to save the sentence")</f>
        <v>Enter 's pile depot refinery, bro, if you know that SOP doesn't talk like that if it's good to save the sentence</v>
      </c>
    </row>
    <row r="5596" spans="1:2" x14ac:dyDescent="0.2">
      <c r="A5596" s="1" t="s">
        <v>2057</v>
      </c>
      <c r="B5596" s="1" t="str">
        <f ca="1">IFERROR(__xludf.DUMFUNCTION("GOOGLETRANSLATE(A5767,""id"",""en"")")," gblh playing cellphone")</f>
        <v xml:space="preserve"> gblh playing cellphone</v>
      </c>
    </row>
    <row r="5597" spans="1:2" x14ac:dyDescent="0.2">
      <c r="A5597" s="1" t="s">
        <v>5596</v>
      </c>
      <c r="B5597" s="1" t="str">
        <f ca="1">IFERROR(__xludf.DUMFUNCTION("GOOGLETRANSLATE(A5768,""id"",""en"")")," Testing Salur Pertalite Solar to List  Trial Areas Trials The Intamina Solar Beritasatu Infographic Infographic Test")</f>
        <v xml:space="preserve"> Testing Salur Pertalite Solar to List  Trial Areas Trials The Intamina Solar Beritasatu Infographic Infographic Test</v>
      </c>
    </row>
    <row r="5598" spans="1:2" x14ac:dyDescent="0.2">
      <c r="A5598" s="1" t="s">
        <v>710</v>
      </c>
      <c r="B5598" s="1" t="str">
        <f ca="1">IFERROR(__xludf.DUMFUNCTION("GOOGLETRANSLATE(A5769,""id"",""en"")"),"Specifically Kendara for Transporting Intitarm Mandatory Mandatory List of Logistics Subsidies Decreased Ojol Transport")</f>
        <v>Specifically Kendara for Transporting Intitarm Mandatory Mandatory List of Logistics Subsidies Decreased Ojol Transport</v>
      </c>
    </row>
    <row r="5599" spans="1:2" x14ac:dyDescent="0.2">
      <c r="A5599" s="1" t="s">
        <v>2058</v>
      </c>
      <c r="B5599" s="1" t="str">
        <f ca="1">IFERROR(__xludf.DUMFUNCTION("GOOGLETRANSLATE(A5770,""id"",""en"")"),"List of Heula  Buru Moal Meuli Gasoline wkwkwkwk")</f>
        <v>List of Heula  Buru Moal Meuli Gasoline wkwkwkwk</v>
      </c>
    </row>
    <row r="5600" spans="1:2" x14ac:dyDescent="0.2">
      <c r="A5600" s="1" t="s">
        <v>2059</v>
      </c>
      <c r="B5600" s="1" t="str">
        <f ca="1">IFERROR(__xludf.DUMFUNCTION("GOOGLETRANSLATE(A5771,""id"",""en"")"),"crude oil in the area of ​​the area of ​​ spilled looking for water because inquired  focused on the network of Kompas Nusantara")</f>
        <v>crude oil in the area of ​​the area of ​​ spilled looking for water because inquired  focused on the network of Kompas Nusantara</v>
      </c>
    </row>
    <row r="5601" spans="1:2" x14ac:dyDescent="0.2">
      <c r="A5601" s="1" t="s">
        <v>5597</v>
      </c>
      <c r="B5601" s="1" t="str">
        <f ca="1">IFERROR(__xludf.DUMFUNCTION("GOOGLETRANSLATE(A5772,""id"",""en"")"),"Blm list   ni list the list of trying to reset the SMS pin, I arrived")</f>
        <v>Blm list   ni list the list of trying to reset the SMS pin, I arrived</v>
      </c>
    </row>
    <row r="5602" spans="1:2" x14ac:dyDescent="0.2">
      <c r="A5602" s="1" t="s">
        <v>5598</v>
      </c>
      <c r="B5602" s="1" t="str">
        <f ca="1">IFERROR(__xludf.DUMFUNCTION("GOOGLETRANSLATE(A5773,""id"",""en"")"),"Already who got cut to buy  Pertalite Cut when the transaction uses  , the task said he said, miss the rupiah cut content")</f>
        <v>Already who got cut to buy  Pertalite Cut when the transaction uses  , the task said he said, miss the rupiah cut content</v>
      </c>
    </row>
    <row r="5603" spans="1:2" x14ac:dyDescent="0.2">
      <c r="A5603" s="1" t="s">
        <v>2060</v>
      </c>
      <c r="B5603" s="1" t="str">
        <f ca="1">IFERROR(__xludf.DUMFUNCTION("GOOGLETRANSLATE(A5774,""id"",""en"")"),"jakarta general orders juli community buying list of fuel fuel fuel smashnews beritaterbaru beritaterkini beritaterupdate kabarterbaru  bbm Beritaviral")</f>
        <v>jakarta general orders juli community buying list of fuel fuel fuel smashnews beritaterbaru beritaterkini beritaterupdate kabarterbaru  bbm Beritaviral</v>
      </c>
    </row>
    <row r="5604" spans="1:2" x14ac:dyDescent="0.2">
      <c r="A5604" s="1" t="s">
        <v>711</v>
      </c>
      <c r="B5604" s="1" t="str">
        <f ca="1">IFERROR(__xludf.DUMFUNCTION("GOOGLETRANSLATE(A5775,""id"",""en"")"),"try to re -discuss the era of the president's mbah")</f>
        <v>try to re -discuss the era of the president's mbah</v>
      </c>
    </row>
    <row r="5605" spans="1:2" x14ac:dyDescent="0.2">
      <c r="A5605" s="1" t="s">
        <v>5599</v>
      </c>
      <c r="B5605" s="1" t="str">
        <f ca="1">IFERROR(__xludf.DUMFUNCTION("GOOGLETRANSLATE(A5776,""id"",""en"")"),"Bismilahirrohmanirohim Answer   Pertamax Bright Gas Gedakanasik Let's Follow Amp.")</f>
        <v>Bismilahirrohmanirohim Answer   Pertamax Bright Gas Gedakanasik Let's Follow Amp.</v>
      </c>
    </row>
    <row r="5606" spans="1:2" x14ac:dyDescent="0.2">
      <c r="A5606" s="1" t="s">
        <v>5599</v>
      </c>
      <c r="B5606" s="1" t="str">
        <f ca="1">IFERROR(__xludf.DUMFUNCTION("GOOGLETRANSLATE(A5777,""id"",""en"")"),"Bismilahirrohmanirohim Answer   Pertamax Bright Gas Gedakanasik Let's Follow Amp.")</f>
        <v>Bismilahirrohmanirohim Answer   Pertamax Bright Gas Gedakanasik Let's Follow Amp.</v>
      </c>
    </row>
    <row r="5607" spans="1:2" x14ac:dyDescent="0.2">
      <c r="A5607" s="1" t="s">
        <v>5065</v>
      </c>
      <c r="B5607" s="1" t="str">
        <f ca="1">IFERROR(__xludf.DUMFUNCTION("GOOGLETRANSLATE(A5778,""id"",""en"")"),"  Pertamax Bright Gas Giveaway rjbt ")</f>
        <v xml:space="preserve">  Pertamax Bright Gas Giveaway rjbt </v>
      </c>
    </row>
    <row r="5608" spans="1:2" x14ac:dyDescent="0.2">
      <c r="A5608" s="1" t="s">
        <v>2061</v>
      </c>
      <c r="B5608" s="1" t="str">
        <f ca="1">IFERROR(__xludf.DUMFUNCTION("GOOGLETRANSLATE(A5780,""id"",""en"")"),"Very  City Application Miskom Case already asks using a debit, not the task of not understanding asking yes yes, as a result, I am complicated, I have to leave a gas station.")</f>
        <v>Very  City Application Miskom Case already asks using a debit, not the task of not understanding asking yes yes, as a result, I am complicated, I have to leave a gas station.</v>
      </c>
    </row>
    <row r="5609" spans="1:2" x14ac:dyDescent="0.2">
      <c r="A5609" s="1" t="s">
        <v>2062</v>
      </c>
      <c r="B5609" s="1" t="str">
        <f ca="1">IFERROR(__xludf.DUMFUNCTION("GOOGLETRANSLATE(A5781,""id"",""en"")")," ordered")</f>
        <v xml:space="preserve"> ordered</v>
      </c>
    </row>
    <row r="5610" spans="1:2" x14ac:dyDescent="0.2">
      <c r="A5610" s="1" t="s">
        <v>712</v>
      </c>
      <c r="B5610" s="1" t="str">
        <f ca="1">IFERROR(__xludf.DUMFUNCTION("GOOGLETRANSLATE(A5782,""id"",""en"")"),"who need a list of July list like a week has")</f>
        <v>who need a list of July list like a week has</v>
      </c>
    </row>
    <row r="5611" spans="1:2" x14ac:dyDescent="0.2">
      <c r="A5611" s="1" t="s">
        <v>2063</v>
      </c>
      <c r="B5611" s="1" t="str">
        <f ca="1">IFERROR(__xludf.DUMFUNCTION("GOOGLETRANSLATE(A5783,""id"",""en"")"),"big salary  wise wise pakde subordinates to bother the people who need subsidized fuel that just don't think like farmers fishermen etc. help think free of the Board of Directors")</f>
        <v>big salary  wise wise pakde subordinates to bother the people who need subsidized fuel that just don't think like farmers fishermen etc. help think free of the Board of Directors</v>
      </c>
    </row>
    <row r="5612" spans="1:2" x14ac:dyDescent="0.2">
      <c r="A5612" s="1" t="s">
        <v>5600</v>
      </c>
      <c r="B5612" s="1" t="str">
        <f ca="1">IFERROR(__xludf.DUMFUNCTION("GOOGLETRANSLATE(A5784,""id"",""en"")")," The  Application is quiet, Campaign")</f>
        <v xml:space="preserve"> The  Application is quiet, Campaign</v>
      </c>
    </row>
    <row r="5613" spans="1:2" x14ac:dyDescent="0.2">
      <c r="A5613" s="1" t="s">
        <v>5601</v>
      </c>
      <c r="B5613" s="1" t="str">
        <f ca="1">IFERROR(__xludf.DUMFUNCTION("GOOGLETRANSLATE(A5785,""id"",""en"")"),"Min, no gas station is paid, I use   if you are absorbed, please provide a gas station to pay   like to pay for   bcs not complicated, thank God, it is not unlucky error")</f>
        <v>Min, no gas station is paid, I use   if you are absorbed, please provide a gas station to pay   like to pay for   bcs not complicated, thank God, it is not unlucky error</v>
      </c>
    </row>
    <row r="5614" spans="1:2" x14ac:dyDescent="0.2">
      <c r="A5614" s="1" t="s">
        <v>5602</v>
      </c>
      <c r="B5614" s="1" t="str">
        <f ca="1">IFERROR(__xludf.DUMFUNCTION("GOOGLETRANSLATE(A5786,""id"",""en"")"),"  Pertamax Brightgas Let's Join Gaess")</f>
        <v xml:space="preserve">  Pertamax Brightgas Let's Join Gaess</v>
      </c>
    </row>
    <row r="5615" spans="1:2" x14ac:dyDescent="0.2">
      <c r="A5615" s="1" t="s">
        <v>5603</v>
      </c>
      <c r="B5615" s="1" t="str">
        <f ca="1">IFERROR(__xludf.DUMFUNCTION("GOOGLETRANSLATE(A5787,""id"",""en"")"),"The media really likes to make a noisy title not write on July the trial of buying fuel using   so many gas stations")</f>
        <v>The media really likes to make a noisy title not write on July the trial of buying fuel using   so many gas stations</v>
      </c>
    </row>
    <row r="5616" spans="1:2" x14ac:dyDescent="0.2">
      <c r="A5616" s="1" t="s">
        <v>5604</v>
      </c>
      <c r="B5616" s="1" t="str">
        <f ca="1">IFERROR(__xludf.DUMFUNCTION("GOOGLETRANSLATE(A5788,""id"",""en"")"),"July  Trial Buy Pertalite Solar  Portalyogya Pertalite")</f>
        <v>July  Trial Buy Pertalite Solar  Portalyogya Pertalite</v>
      </c>
    </row>
    <row r="5617" spans="1:2" x14ac:dyDescent="0.2">
      <c r="A5617" s="1" t="s">
        <v>5194</v>
      </c>
      <c r="B5617" s="1" t="str">
        <f ca="1">IFERROR(__xludf.DUMFUNCTION("GOOGLETRANSLATE(A5789,""id"",""en"")"),"Download   Buy Premium Subsidy Gasoline")</f>
        <v>Download   Buy Premium Subsidy Gasoline</v>
      </c>
    </row>
    <row r="5618" spans="1:2" x14ac:dyDescent="0.2">
      <c r="A5618" s="1" t="s">
        <v>5605</v>
      </c>
      <c r="B5618" s="1" t="str">
        <f ca="1">IFERROR(__xludf.DUMFUNCTION("GOOGLETRANSLATE(A5790,""id"",""en"")"),"Date July Buy Gasoline Forgotten to Install  Pertamin Apps Officially PT  Continue to Nation Distributes of close people")</f>
        <v>Date July Buy Gasoline Forgotten to Install  Pertamin Apps Officially PT  Continue to Nation Distributes of close people</v>
      </c>
    </row>
    <row r="5619" spans="1:2" x14ac:dyDescent="0.2">
      <c r="A5619" s="1" t="s">
        <v>2064</v>
      </c>
      <c r="B5619" s="1" t="str">
        <f ca="1">IFERROR(__xludf.DUMFUNCTION("GOOGLETRANSLATE(A5791,""id"",""en"")"),"Panungtungan near  Oge Atuh")</f>
        <v>Panungtungan near  Oge Atuh</v>
      </c>
    </row>
    <row r="5620" spans="1:2" x14ac:dyDescent="0.2">
      <c r="A5620" s="1" t="s">
        <v>2065</v>
      </c>
      <c r="B5620" s="1" t="str">
        <f ca="1">IFERROR(__xludf.DUMFUNCTION("GOOGLETRANSLATE(A5792,""id"",""en"")"),"spilled crude oil  Cemar Air Nusakambangan Download News Application in Typical Typical Kompas Android Day")</f>
        <v>spilled crude oil  Cemar Air Nusakambangan Download News Application in Typical Typical Kompas Android Day</v>
      </c>
    </row>
    <row r="5621" spans="1:2" x14ac:dyDescent="0.2">
      <c r="A5621" s="1" t="s">
        <v>5606</v>
      </c>
      <c r="B5621" s="1" t="str">
        <f ca="1">IFERROR(__xludf.DUMFUNCTION("GOOGLETRANSLATE(A5793,""id"",""en"")"),"Oyi there are friends who are the   application to pay for gas stations who receive paying using the   application")</f>
        <v>Oyi there are friends who are the   application to pay for gas stations who receive paying using the   application</v>
      </c>
    </row>
    <row r="5622" spans="1:2" x14ac:dyDescent="0.2">
      <c r="A5622" s="1" t="s">
        <v>2066</v>
      </c>
      <c r="B5622" s="1" t="str">
        <f ca="1">IFERROR(__xludf.DUMFUNCTION("GOOGLETRANSLATE(A5794,""id"",""en"")"),"do not believe the fuel subsidies proof when world oil prices fall but fuel in the country goes down  loss")</f>
        <v>do not believe the fuel subsidies proof when world oil prices fall but fuel in the country goes down  loss</v>
      </c>
    </row>
    <row r="5623" spans="1:2" x14ac:dyDescent="0.2">
      <c r="A5623" s="1" t="s">
        <v>5607</v>
      </c>
      <c r="B5623" s="1" t="str">
        <f ca="1">IFERROR(__xludf.DUMFUNCTION("GOOGLETRANSLATE(A5795,""id"",""en"")"),"What's cool to buy Pakqi cooking oil cares about the protection of buying fuel using   cool from where it can make the people")</f>
        <v>What's cool to buy Pakqi cooking oil cares about the protection of buying fuel using   cool from where it can make the people</v>
      </c>
    </row>
    <row r="5624" spans="1:2" x14ac:dyDescent="0.2">
      <c r="A5624" s="1" t="s">
        <v>2067</v>
      </c>
      <c r="B5624" s="1" t="str">
        <f ca="1">IFERROR(__xludf.DUMFUNCTION("GOOGLETRANSLATE(A5796,""id"",""en"")"),"Forgot to bring a cellphone buy Pertalite Solar  Patra Patra Niaga Testing Pertalite Solar Transaction for Kendara Roda List of West Java City July")</f>
        <v>Forgot to bring a cellphone buy Pertalite Solar  Patra Patra Niaga Testing Pertalite Solar Transaction for Kendara Roda List of West Java City July</v>
      </c>
    </row>
    <row r="5625" spans="1:2" x14ac:dyDescent="0.2">
      <c r="A5625" s="1" t="s">
        <v>5608</v>
      </c>
      <c r="B5625" s="1" t="str">
        <f ca="1">IFERROR(__xludf.DUMFUNCTION("GOOGLETRANSLATE(A5797,""id"",""en"")"),"There are friends who are the   application to pay for gas stations who receive paying using the   application")</f>
        <v>There are friends who are the   application to pay for gas stations who receive paying using the   application</v>
      </c>
    </row>
    <row r="5626" spans="1:2" x14ac:dyDescent="0.2">
      <c r="A5626" s="1" t="s">
        <v>1225</v>
      </c>
      <c r="B5626" s="1" t="str">
        <f ca="1">IFERROR(__xludf.DUMFUNCTION("GOOGLETRANSLATE(A5798,""id"",""en"")"),"Denpasar Police Chief of PT  Branch Denpasar Denpasar Branch")</f>
        <v>Denpasar Police Chief of PT  Branch Denpasar Denpasar Branch</v>
      </c>
    </row>
    <row r="5627" spans="1:2" x14ac:dyDescent="0.2">
      <c r="A5627" s="1" t="s">
        <v>1783</v>
      </c>
      <c r="B5627" s="1" t="str">
        <f ca="1">IFERROR(__xludf.DUMFUNCTION("GOOGLETRANSLATE(A5799,""id"",""en"")"),"RIAH KIE  LUBRICANTS Special Promo Prizes")</f>
        <v>RIAH KIE  LUBRICANTS Special Promo Prizes</v>
      </c>
    </row>
    <row r="5628" spans="1:2" x14ac:dyDescent="0.2">
      <c r="A5628" s="1" t="s">
        <v>5609</v>
      </c>
      <c r="B5628" s="1" t="str">
        <f ca="1">IFERROR(__xludf.DUMFUNCTION("GOOGLETRANSLATE(A5800,""id"",""en"")"),"it is true that the sna is rich like the poor who are difficult to use   high school, the end of the queue")</f>
        <v>it is true that the sna is rich like the poor who are difficult to use   high school, the end of the queue</v>
      </c>
    </row>
    <row r="5629" spans="1:2" x14ac:dyDescent="0.2">
      <c r="A5629" s="1" t="s">
        <v>5569</v>
      </c>
      <c r="B5629" s="1" t="str">
        <f ca="1">IFERROR(__xludf.DUMFUNCTION("GOOGLETRANSLATE(A5801,""id"",""en"")"),"  Pertamax Bright Gas Let's participate")</f>
        <v xml:space="preserve">  Pertamax Bright Gas Let's participate</v>
      </c>
    </row>
    <row r="5630" spans="1:2" x14ac:dyDescent="0.2">
      <c r="A5630" s="1" t="s">
        <v>5610</v>
      </c>
      <c r="B5630" s="1" t="str">
        <f ca="1">IFERROR(__xludf.DUMFUNCTION("GOOGLETRANSLATE(A5802,""id"",""en"")"),"relate to grumbling 's call center because of  error")</f>
        <v>relate to grumbling 's call center because of  error</v>
      </c>
    </row>
    <row r="5631" spans="1:2" x14ac:dyDescent="0.2">
      <c r="A5631" s="1" t="s">
        <v>2068</v>
      </c>
      <c r="B5631" s="1" t="str">
        <f ca="1">IFERROR(__xludf.DUMFUNCTION("GOOGLETRANSLATE(A5803,""id"",""en"")"),"Fortunately  Downloads the profit application to open profit then buy using a profit balance, then the people who are profitable for the state")</f>
        <v>Fortunately  Downloads the profit application to open profit then buy using a profit balance, then the people who are profitable for the state</v>
      </c>
    </row>
    <row r="5632" spans="1:2" x14ac:dyDescent="0.2">
      <c r="A5632" s="1" t="s">
        <v>5611</v>
      </c>
      <c r="B5632" s="1" t="str">
        <f ca="1">IFERROR(__xludf.DUMFUNCTION("GOOGLETRANSLATE(A5804,""id"",""en"")"),"Afternoon THR Hours Shopeepaythr Let's Take After Trending   Bogum Ginting")</f>
        <v>Afternoon THR Hours Shopeepaythr Let's Take After Trending   Bogum Ginting</v>
      </c>
    </row>
    <row r="5633" spans="1:2" x14ac:dyDescent="0.2">
      <c r="A5633" s="1" t="s">
        <v>713</v>
      </c>
      <c r="B5633" s="1" t="str">
        <f ca="1">IFERROR(__xludf.DUMFUNCTION("GOOGLETRANSLATE(A5805,""id"",""en"")"),"Finally Got The Answer")</f>
        <v>Finally Got The Answer</v>
      </c>
    </row>
    <row r="5634" spans="1:2" x14ac:dyDescent="0.2">
      <c r="A5634" s="1" t="s">
        <v>5612</v>
      </c>
      <c r="B5634" s="1" t="str">
        <f ca="1">IFERROR(__xludf.DUMFUNCTION("GOOGLETRANSLATE(A5806,""id"",""en"")"),"unconsciously the president's satire Sia Awi who built the way of the community difficult to buy pertalite buying a migor using the application caring for protected protesters to buy pertalite using   brain")</f>
        <v>unconsciously the president's satire Sia Awi who built the way of the community difficult to buy pertalite buying a migor using the application caring for protected protesters to buy pertalite using   brain</v>
      </c>
    </row>
    <row r="5635" spans="1:2" x14ac:dyDescent="0.2">
      <c r="A5635" s="1" t="s">
        <v>714</v>
      </c>
      <c r="B5635" s="1" t="str">
        <f ca="1">IFERROR(__xludf.DUMFUNCTION("GOOGLETRANSLATE(A5807,""id"",""en"")"),"Min Mob Check DM")</f>
        <v>Min Mob Check DM</v>
      </c>
    </row>
    <row r="5636" spans="1:2" x14ac:dyDescent="0.2">
      <c r="A5636" s="1" t="s">
        <v>5613</v>
      </c>
      <c r="B5636" s="1" t="str">
        <f ca="1">IFERROR(__xludf.DUMFUNCTION("GOOGLETRANSLATE(A5808,""id"",""en"")"),"July  Selling a trial service of buying Pertalite Solar to list the Validnews  Economic  System")</f>
        <v>July  Selling a trial service of buying Pertalite Solar to list the Validnews  Economic  System</v>
      </c>
    </row>
    <row r="5637" spans="1:2" x14ac:dyDescent="0.2">
      <c r="A5637" s="1" t="s">
        <v>2069</v>
      </c>
      <c r="B5637" s="1" t="str">
        <f ca="1">IFERROR(__xludf.DUMFUNCTION("GOOGLETRANSLATE(A5809,""id"",""en"")"),"I hope you can help from , hook with complaints, if you don't get done , it will also act rich")</f>
        <v>I hope you can help from , hook with complaints, if you don't get done , it will also act rich</v>
      </c>
    </row>
    <row r="5638" spans="1:2" x14ac:dyDescent="0.2">
      <c r="A5638" s="1" t="s">
        <v>2070</v>
      </c>
      <c r="B5638" s="1" t="str">
        <f ca="1">IFERROR(__xludf.DUMFUNCTION("GOOGLETRANSLATE(A5810,""id"",""en"")"),"hobby of filling wild racing so that  knows really need fuel")</f>
        <v>hobby of filling wild racing so that  knows really need fuel</v>
      </c>
    </row>
    <row r="5639" spans="1:2" x14ac:dyDescent="0.2">
      <c r="A5639" s="1" t="s">
        <v>715</v>
      </c>
      <c r="B5639" s="1" t="str">
        <f ca="1">IFERROR(__xludf.DUMFUNCTION("GOOGLETRANSLATE(A5811,""id"",""en"")"),"I Doyok Motorcycle Fill Pertamax Mulu Pertalite Empty Fill Full Noban Gob")</f>
        <v>I Doyok Motorcycle Fill Pertamax Mulu Pertalite Empty Fill Full Noban Gob</v>
      </c>
    </row>
    <row r="5640" spans="1:2" x14ac:dyDescent="0.2">
      <c r="A5640" s="1" t="s">
        <v>2071</v>
      </c>
      <c r="B5640" s="1" t="str">
        <f ca="1">IFERROR(__xludf.DUMFUNCTION("GOOGLETRANSLATE(A5812,""id"",""en"")"),"Gayalu digitizes taking care of the little files a little FC KTP weird, the country is or not using the application, it's already traffic jams, , make jir app.")</f>
        <v>Gayalu digitizes taking care of the little files a little FC KTP weird, the country is or not using the application, it's already traffic jams, , make jir app.</v>
      </c>
    </row>
    <row r="5641" spans="1:2" x14ac:dyDescent="0.2">
      <c r="A5641" s="1" t="s">
        <v>2072</v>
      </c>
      <c r="B5641" s="1" t="str">
        <f ca="1">IFERROR(__xludf.DUMFUNCTION("GOOGLETRANSLATE(A5813,""id"",""en"")"),"No wonder Kmaren Negor holds a cellphone when top -up diesel")</f>
        <v>No wonder Kmaren Negor holds a cellphone when top -up diesel</v>
      </c>
    </row>
    <row r="5642" spans="1:2" x14ac:dyDescent="0.2">
      <c r="A5642" s="1" t="s">
        <v>2073</v>
      </c>
      <c r="B5642" s="1" t="str">
        <f ca="1">IFERROR(__xludf.DUMFUNCTION("GOOGLETRANSLATE(A5814,""id"",""en"")"),"how to buy a retail selling gasoline, I don't buy Pertalite  POM POM POM POM BUY BUY USED BY BUSINESS PERSAMAX")</f>
        <v>how to buy a retail selling gasoline, I don't buy Pertalite  POM POM POM POM BUY BUY USED BY BUSINESS PERSAMAX</v>
      </c>
    </row>
    <row r="5643" spans="1:2" x14ac:dyDescent="0.2">
      <c r="A5643" s="1" t="s">
        <v>5614</v>
      </c>
      <c r="B5643" s="1" t="str">
        <f ca="1">IFERROR(__xludf.DUMFUNCTION("GOOGLETRANSLATE(A5815,""id"",""en"")"),"  Bright Gas Pertamax Come on, friend, join the    guess giveaway")</f>
        <v xml:space="preserve">  Bright Gas Pertamax Come on, friend, join the    guess giveaway</v>
      </c>
    </row>
    <row r="5644" spans="1:2" x14ac:dyDescent="0.2">
      <c r="A5644" s="1" t="s">
        <v>2074</v>
      </c>
      <c r="B5644" s="1" t="str">
        <f ca="1">IFERROR(__xludf.DUMFUNCTION("GOOGLETRANSLATE(A5816,""id"",""en"")")," Iku Distributor Tok Gak")</f>
        <v xml:space="preserve"> Iku Distributor Tok Gak</v>
      </c>
    </row>
    <row r="5645" spans="1:2" x14ac:dyDescent="0.2">
      <c r="A5645" s="1" t="s">
        <v>1915</v>
      </c>
      <c r="B5645" s="1" t="str">
        <f ca="1">IFERROR(__xludf.DUMFUNCTION("GOOGLETRANSLATE(A5817,""id"",""en"")")," doesn't bring a refinery")</f>
        <v xml:space="preserve"> doesn't bring a refinery</v>
      </c>
    </row>
    <row r="5646" spans="1:2" x14ac:dyDescent="0.2">
      <c r="A5646" s="1" t="s">
        <v>5089</v>
      </c>
      <c r="B5646" s="1" t="str">
        <f ca="1">IFERROR(__xludf.DUMFUNCTION("GOOGLETRANSLATE(A5818,""id"",""en"")"),"  Pertamax Bright Gas")</f>
        <v xml:space="preserve">  Pertamax Bright Gas</v>
      </c>
    </row>
    <row r="5647" spans="1:2" x14ac:dyDescent="0.2">
      <c r="A5647" s="1" t="s">
        <v>716</v>
      </c>
      <c r="B5647" s="1" t="str">
        <f ca="1">IFERROR(__xludf.DUMFUNCTION("GOOGLETRANSLATE(A5819,""id"",""en"")"),"sickness that makes wise gin")</f>
        <v>sickness that makes wise gin</v>
      </c>
    </row>
    <row r="5648" spans="1:2" x14ac:dyDescent="0.2">
      <c r="A5648" s="1" t="s">
        <v>2075</v>
      </c>
      <c r="B5648" s="1" t="str">
        <f ca="1">IFERROR(__xludf.DUMFUNCTION("GOOGLETRANSLATE(A5820,""id"",""en"")")," against Global Warming is difficult to buy a role model fuel")</f>
        <v xml:space="preserve"> against Global Warming is difficult to buy a role model fuel</v>
      </c>
    </row>
    <row r="5649" spans="1:2" x14ac:dyDescent="0.2">
      <c r="A5649" s="1" t="s">
        <v>2076</v>
      </c>
      <c r="B5649" s="1" t="str">
        <f ca="1">IFERROR(__xludf.DUMFUNCTION("GOOGLETRANSLATE(A5821,""id"",""en"")"),"The Task of the President Commissioner is one of the alert to the streets of the activity to check the activity that Ahok is  's commut is broken with you ahok")</f>
        <v>The Task of the President Commissioner is one of the alert to the streets of the activity to check the activity that Ahok is  's commut is broken with you ahok</v>
      </c>
    </row>
    <row r="5650" spans="1:2" x14ac:dyDescent="0.2">
      <c r="A5650" s="1" t="s">
        <v>717</v>
      </c>
      <c r="B5650" s="1" t="str">
        <f ca="1">IFERROR(__xludf.DUMFUNCTION("GOOGLETRANSLATE(A5822,""id"",""en"")"),"Bula, if you buy solar subsidies, you have to buy it, it's funny")</f>
        <v>Bula, if you buy solar subsidies, you have to buy it, it's funny</v>
      </c>
    </row>
    <row r="5651" spans="1:2" x14ac:dyDescent="0.2">
      <c r="A5651" s="1" t="s">
        <v>5615</v>
      </c>
      <c r="B5651" s="1" t="str">
        <f ca="1">IFERROR(__xludf.DUMFUNCTION("GOOGLETRANSLATE(A5823,""id"",""en"")")," Testing Pertalite Solar Salur Boundary GTVNews  PT Transaction Pertalite Solar Bahabakar Bbm Bbm Community Testing the  Qrcode Kendara website trial")</f>
        <v xml:space="preserve"> Testing Pertalite Solar Salur Boundary GTVNews  PT Transaction Pertalite Solar Bahabakar Bbm Bbm Community Testing the  Qrcode Kendara website trial</v>
      </c>
    </row>
    <row r="5652" spans="1:2" x14ac:dyDescent="0.2">
      <c r="A5652" s="1" t="s">
        <v>5616</v>
      </c>
      <c r="B5652" s="1" t="str">
        <f ca="1">IFERROR(__xludf.DUMFUNCTION("GOOGLETRANSLATE(A5824,""id"",""en"")"),"Patra Niaga actually bought gasoline subsidies using   Idea that is good after I hope it will be in front of the technical applications of the technical applicants for the Discuss.")</f>
        <v>Patra Niaga actually bought gasoline subsidies using   Idea that is good after I hope it will be in front of the technical applications of the technical applicants for the Discuss.</v>
      </c>
    </row>
    <row r="5653" spans="1:2" x14ac:dyDescent="0.2">
      <c r="A5653" s="1" t="s">
        <v>5617</v>
      </c>
      <c r="B5653" s="1" t="str">
        <f ca="1">IFERROR(__xludf.DUMFUNCTION("GOOGLETRANSLATE(A5825,""id"",""en"")"),"The gas station poster invites to buy using   HR who is the road to the center already EDC machine")</f>
        <v>The gas station poster invites to buy using   HR who is the road to the center already EDC machine</v>
      </c>
    </row>
    <row r="5654" spans="1:2" x14ac:dyDescent="0.2">
      <c r="A5654" s="1" t="s">
        <v>5618</v>
      </c>
      <c r="B5654" s="1" t="str">
        <f ca="1">IFERROR(__xludf.DUMFUNCTION("GOOGLETRANSLATE(A5826,""id"",""en"")"),"Taehyung Holywing amp   like the love of BLACKPINKKPOP Talking Indra Bekti if sending export items is really easy to help until complete")</f>
        <v>Taehyung Holywing amp   like the love of BLACKPINKKPOP Talking Indra Bekti if sending export items is really easy to help until complete</v>
      </c>
    </row>
    <row r="5655" spans="1:2" x14ac:dyDescent="0.2">
      <c r="A5655" s="1" t="s">
        <v>5619</v>
      </c>
      <c r="B5655" s="1" t="str">
        <f ca="1">IFERROR(__xludf.DUMFUNCTION("GOOGLETRANSLATE(A5827,""id"",""en"")"),"nature uses   if the city of sby alhamdulillah is smooth if the city is non toll")</f>
        <v>nature uses   if the city of sby alhamdulillah is smooth if the city is non toll</v>
      </c>
    </row>
    <row r="5656" spans="1:2" x14ac:dyDescent="0.2">
      <c r="A5656" s="1" t="s">
        <v>2077</v>
      </c>
      <c r="B5656" s="1" t="str">
        <f ca="1">IFERROR(__xludf.DUMFUNCTION("GOOGLETRANSLATE(A5828,""id"",""en"")"),"KPK Calls Ahok Kait Alleged Corruption There is LNG PT ")</f>
        <v xml:space="preserve">KPK Calls Ahok Kait Alleged Corruption There is LNG PT </v>
      </c>
    </row>
    <row r="5657" spans="1:2" x14ac:dyDescent="0.2">
      <c r="A5657" s="1" t="s">
        <v>718</v>
      </c>
      <c r="B5657" s="1" t="str">
        <f ca="1">IFERROR(__xludf.DUMFUNCTION("GOOGLETRANSLATE(A5829,""id"",""en"")"),"Anjir South Kalimantan Weh")</f>
        <v>Anjir South Kalimantan Weh</v>
      </c>
    </row>
    <row r="5658" spans="1:2" x14ac:dyDescent="0.2">
      <c r="A5658" s="1" t="s">
        <v>2078</v>
      </c>
      <c r="B5658" s="1" t="str">
        <f ca="1">IFERROR(__xludf.DUMFUNCTION("GOOGLETRANSLATE(A5830,""id"",""en"")"),"This is really complicated, you buy  gasoline, but I register online, I am auto, buying a retail if it's gin")</f>
        <v>This is really complicated, you buy  gasoline, but I register online, I am auto, buying a retail if it's gin</v>
      </c>
    </row>
    <row r="5659" spans="1:2" x14ac:dyDescent="0.2">
      <c r="A5659" s="1" t="s">
        <v>5620</v>
      </c>
      <c r="B5659" s="1" t="str">
        <f ca="1">IFERROR(__xludf.DUMFUNCTION("GOOGLETRANSLATE(A5831,""id"",""en"")"),"nature uses   if the city of sby alhamdulillah smoothly if the city of non -tolls in the direction of jombang from driyorejo until jombang city gas station that uses   with good base management")</f>
        <v>nature uses   if the city of sby alhamdulillah smoothly if the city of non -tolls in the direction of jombang from driyorejo until jombang city gas station that uses   with good base management</v>
      </c>
    </row>
    <row r="5660" spans="1:2" x14ac:dyDescent="0.2">
      <c r="A5660" s="1" t="s">
        <v>719</v>
      </c>
      <c r="B5660" s="1" t="str">
        <f ca="1">IFERROR(__xludf.DUMFUNCTION("GOOGLETRANSLATE(A5832,""id"",""en"")"),"It's really complicated")</f>
        <v>It's really complicated</v>
      </c>
    </row>
    <row r="5661" spans="1:2" x14ac:dyDescent="0.2">
      <c r="A5661" s="1" t="s">
        <v>2079</v>
      </c>
      <c r="B5661" s="1" t="str">
        <f ca="1">IFERROR(__xludf.DUMFUNCTION("GOOGLETRANSLATE(A5833,""id"",""en"")"),"but  again sophisticated, using the app user is required to enter the vehicle registration datamobil a private name can be a non -subsidized price of gasoline if the car business name can be the price of industrial subsidies")</f>
        <v>but  again sophisticated, using the app user is required to enter the vehicle registration datamobil a private name can be a non -subsidized price of gasoline if the car business name can be the price of industrial subsidies</v>
      </c>
    </row>
    <row r="5662" spans="1:2" x14ac:dyDescent="0.2">
      <c r="A5662" s="1" t="s">
        <v>2080</v>
      </c>
      <c r="B5662" s="1" t="str">
        <f ca="1">IFERROR(__xludf.DUMFUNCTION("GOOGLETRANSLATE(A5834,""id"",""en"")"),"Jan, a person is difficult to buy ")</f>
        <v xml:space="preserve">Jan, a person is difficult to buy </v>
      </c>
    </row>
    <row r="5663" spans="1:2" x14ac:dyDescent="0.2">
      <c r="A5663" s="1" t="s">
        <v>2081</v>
      </c>
      <c r="B5663" s="1" t="str">
        <f ca="1">IFERROR(__xludf.DUMFUNCTION("GOOGLETRANSLATE(A5835,""id"",""en"")")," Logic")</f>
        <v xml:space="preserve"> Logic</v>
      </c>
    </row>
    <row r="5664" spans="1:2" x14ac:dyDescent="0.2">
      <c r="A5664" s="1" t="s">
        <v>5621</v>
      </c>
      <c r="B5664" s="1" t="str">
        <f ca="1">IFERROR(__xludf.DUMFUNCTION("GOOGLETRANSLATE(A5836,""id"",""en"")"),"Fresher  Patra Niaga Sub Holding Commercial Amp Trading PT  Persero July Testing Pertalite Solar Salur Trial for the Rights of the  SYSTEM LIST")</f>
        <v>Fresher  Patra Niaga Sub Holding Commercial Amp Trading PT  Persero July Testing Pertalite Solar Salur Trial for the Rights of the  SYSTEM LIST</v>
      </c>
    </row>
    <row r="5665" spans="1:2" x14ac:dyDescent="0.2">
      <c r="A5665" s="1" t="s">
        <v>2082</v>
      </c>
      <c r="B5665" s="1" t="str">
        <f ca="1">IFERROR(__xludf.DUMFUNCTION("GOOGLETRANSLATE(A5837,""id"",""en"")")," trials the West Java City subsidized fuel application")</f>
        <v xml:space="preserve"> trials the West Java City subsidized fuel application</v>
      </c>
    </row>
    <row r="5666" spans="1:2" x14ac:dyDescent="0.2">
      <c r="A5666" s="1" t="s">
        <v>5622</v>
      </c>
      <c r="B5666" s="1" t="str">
        <f ca="1">IFERROR(__xludf.DUMFUNCTION("GOOGLETRANSLATE(A5838,""id"",""en"")"),"Om  Wifi gas station is free or not if   does not sell internet quota how to buy")</f>
        <v>Om  Wifi gas station is free or not if   does not sell internet quota how to buy</v>
      </c>
    </row>
    <row r="5667" spans="1:2" x14ac:dyDescent="0.2">
      <c r="A5667" s="1" t="s">
        <v>2083</v>
      </c>
      <c r="B5667" s="1" t="str">
        <f ca="1">IFERROR(__xludf.DUMFUNCTION("GOOGLETRANSLATE(A5839,""id"",""en"")"),"'s site broadcast on July the Hak community")</f>
        <v>'s site broadcast on July the Hak community</v>
      </c>
    </row>
    <row r="5668" spans="1:2" x14ac:dyDescent="0.2">
      <c r="A5668" s="1" t="s">
        <v>2084</v>
      </c>
      <c r="B5668" s="1" t="str">
        <f ca="1">IFERROR(__xludf.DUMFUNCTION("GOOGLETRANSLATE(A5840,""id"",""en"")"),"you know to bother the people of , the monitoring mechanism is easy")</f>
        <v>you know to bother the people of , the monitoring mechanism is easy</v>
      </c>
    </row>
    <row r="5669" spans="1:2" x14ac:dyDescent="0.2">
      <c r="A5669" s="1" t="s">
        <v>5623</v>
      </c>
      <c r="B5669" s="1" t="str">
        <f ca="1">IFERROR(__xludf.DUMFUNCTION("GOOGLETRANSLATE(A5841,""id"",""en"")"),"Sambel Telfonan doesn't buy gasoline using   access   not using a signal, airplane mode, huh?")</f>
        <v>Sambel Telfonan doesn't buy gasoline using   access   not using a signal, airplane mode, huh?</v>
      </c>
    </row>
    <row r="5670" spans="1:2" x14ac:dyDescent="0.2">
      <c r="A5670" s="1" t="s">
        <v>5624</v>
      </c>
      <c r="B5670" s="1" t="str">
        <f ca="1">IFERROR(__xludf.DUMFUNCTION("GOOGLETRANSLATE(A5842,""id"",""en"")"),"  is a mobile application, then the use of it, how do I read the QR code receipt, so it doesn't use the gas station smartphone, how about the gas station, how about the gas station.")</f>
        <v xml:space="preserve">  is a mobile application, then the use of it, how do I read the QR code receipt, so it doesn't use the gas station smartphone, how about the gas station, how about the gas station.</v>
      </c>
    </row>
    <row r="5671" spans="1:2" x14ac:dyDescent="0.2">
      <c r="A5671" s="1" t="s">
        <v>2085</v>
      </c>
      <c r="B5671" s="1" t="str">
        <f ca="1">IFERROR(__xludf.DUMFUNCTION("GOOGLETRANSLATE(A5843,""id"",""en"")"),"Find data need evil in the middle class search in ")</f>
        <v xml:space="preserve">Find data need evil in the middle class search in </v>
      </c>
    </row>
    <row r="5672" spans="1:2" x14ac:dyDescent="0.2">
      <c r="A5672" s="1" t="s">
        <v>2086</v>
      </c>
      <c r="B5672" s="1" t="str">
        <f ca="1">IFERROR(__xludf.DUMFUNCTION("GOOGLETRANSLATE(A5844,""id"",""en"")"),"Mamak I told me who was  but I liked dech to be angry")</f>
        <v>Mamak I told me who was  but I liked dech to be angry</v>
      </c>
    </row>
    <row r="5673" spans="1:2" x14ac:dyDescent="0.2">
      <c r="A5673" s="1" t="s">
        <v>5625</v>
      </c>
      <c r="B5673" s="1" t="str">
        <f ca="1">IFERROR(__xludf.DUMFUNCTION("GOOGLETRANSLATE(A5845,""id"",""en"")"),"Date of July PT  Persero then test to buy fuel fuel fuel subsidized type of solar solar application ")</f>
        <v xml:space="preserve">Date of July PT  Persero then test to buy fuel fuel fuel subsidized type of solar solar application </v>
      </c>
    </row>
    <row r="5674" spans="1:2" x14ac:dyDescent="0.2">
      <c r="A5674" s="1" t="s">
        <v>5626</v>
      </c>
      <c r="B5674" s="1" t="str">
        <f ca="1">IFERROR(__xludf.DUMFUNCTION("GOOGLETRANSLATE(A5846,""id"",""en"")"),"Logic Yes, people bring Pick Up Liatin   Application Get Pertalite Solar")</f>
        <v>Logic Yes, people bring Pick Up Liatin   Application Get Pertalite Solar</v>
      </c>
    </row>
    <row r="5675" spans="1:2" x14ac:dyDescent="0.2">
      <c r="A5675" s="1" t="s">
        <v>5627</v>
      </c>
      <c r="B5675" s="1" t="str">
        <f ca="1">IFERROR(__xludf.DUMFUNCTION("GOOGLETRANSLATE(A5847,""id"",""en"")"),"Hi friends AGI already lists the   Cuss application list of the contents of the Link Balance, MU AGI Apps, let's support the wise order of the BBM BBM, BankArthagrahainternasional AgibybankAgrahagrahainasional")</f>
        <v>Hi friends AGI already lists the   Cuss application list of the contents of the Link Balance, MU AGI Apps, let's support the wise order of the BBM BBM, BankArthagrahainternasional AgibybankAgrahagrahainasional</v>
      </c>
    </row>
    <row r="5676" spans="1:2" x14ac:dyDescent="0.2">
      <c r="A5676" s="1" t="s">
        <v>2087</v>
      </c>
      <c r="B5676" s="1" t="str">
        <f ca="1">IFERROR(__xludf.DUMFUNCTION("GOOGLETRANSLATE(A5848,""id"",""en"")"),"Im IO GA SPONSOR ")</f>
        <v xml:space="preserve">Im IO GA SPONSOR </v>
      </c>
    </row>
    <row r="5677" spans="1:2" x14ac:dyDescent="0.2">
      <c r="A5677" s="1" t="s">
        <v>5628</v>
      </c>
      <c r="B5677" s="1" t="str">
        <f ca="1">IFERROR(__xludf.DUMFUNCTION("GOOGLETRANSLATE(A5849,""id"",""en"")"),"Pay using  Shell Cashless using Gopay, bro, read it")</f>
        <v>Pay using  Shell Cashless using Gopay, bro, read it</v>
      </c>
    </row>
    <row r="5678" spans="1:2" x14ac:dyDescent="0.2">
      <c r="A5678" s="1" t="s">
        <v>5629</v>
      </c>
      <c r="B5678" s="1" t="str">
        <f ca="1">IFERROR(__xludf.DUMFUNCTION("GOOGLETRANSLATE(A5850,""id"",""en"")"),"Install   Memory")</f>
        <v>Install   Memory</v>
      </c>
    </row>
    <row r="5679" spans="1:2" x14ac:dyDescent="0.2">
      <c r="A5679" s="1" t="s">
        <v>2088</v>
      </c>
      <c r="B5679" s="1" t="str">
        <f ca="1">IFERROR(__xludf.DUMFUNCTION("GOOGLETRANSLATE(A5851,""id"",""en"")"),"People Bondong Sell  Memenkk's Electric Mobs Cars")</f>
        <v>People Bondong Sell  Memenkk's Electric Mobs Cars</v>
      </c>
    </row>
    <row r="5680" spans="1:2" x14ac:dyDescent="0.2">
      <c r="A5680" s="1" t="s">
        <v>2089</v>
      </c>
      <c r="B5680" s="1" t="str">
        <f ca="1">IFERROR(__xludf.DUMFUNCTION("GOOGLETRANSLATE(A5852,""id"",""en"")")," Cilacap Refinery Definite Water Area Clean Cecer  Cilacap Oil Beritacilac")</f>
        <v xml:space="preserve"> Cilacap Refinery Definite Water Area Clean Cecer  Cilacap Oil Beritacilac</v>
      </c>
    </row>
    <row r="5681" spans="1:2" x14ac:dyDescent="0.2">
      <c r="A5681" s="1" t="s">
        <v>720</v>
      </c>
      <c r="B5681" s="1" t="str">
        <f ca="1">IFERROR(__xludf.DUMFUNCTION("GOOGLETRANSLATE(A5853,""id"",""en"")"),"Cool gas stations forbid playing cellphones.")</f>
        <v>Cool gas stations forbid playing cellphones.</v>
      </c>
    </row>
    <row r="5682" spans="1:2" x14ac:dyDescent="0.2">
      <c r="A5682" s="1" t="s">
        <v>2090</v>
      </c>
      <c r="B5682" s="1" t="str">
        <f ca="1">IFERROR(__xludf.DUMFUNCTION("GOOGLETRANSLATE(A5854,""id"",""en"")"),"Please require the requirements for the people who buy fuel subsidies subsidized mechanism for buying fuel subsidies for the Minister of Energy and Mineral Resources  Regulator is like a permanent set of ESDM Minister")</f>
        <v>Please require the requirements for the people who buy fuel subsidies subsidized mechanism for buying fuel subsidies for the Minister of Energy and Mineral Resources  Regulator is like a permanent set of ESDM Minister</v>
      </c>
    </row>
    <row r="5683" spans="1:2" x14ac:dyDescent="0.2">
      <c r="A5683" s="1" t="s">
        <v>5630</v>
      </c>
      <c r="B5683" s="1" t="str">
        <f ca="1">IFERROR(__xludf.DUMFUNCTION("GOOGLETRANSLATE(A5855,""id"",""en"")"),"buy gasoline using  apk  scan pom pump using mobile phones")</f>
        <v>buy gasoline using  apk  scan pom pump using mobile phones</v>
      </c>
    </row>
    <row r="5684" spans="1:2" x14ac:dyDescent="0.2">
      <c r="A5684" s="1" t="s">
        <v>5631</v>
      </c>
      <c r="B5684" s="1" t="str">
        <f ca="1">IFERROR(__xludf.DUMFUNCTION("GOOGLETRANSLATE(A5856,""id"",""en"")"),"people are really the right to get fuel subsidies, not many technology literate like the   Nation application")</f>
        <v>people are really the right to get fuel subsidies, not many technology literate like the   Nation application</v>
      </c>
    </row>
    <row r="5685" spans="1:2" x14ac:dyDescent="0.2">
      <c r="A5685" s="1" t="s">
        <v>721</v>
      </c>
      <c r="B5685" s="1" t="str">
        <f ca="1">IFERROR(__xludf.DUMFUNCTION("GOOGLETRANSLATE(A5857,""id"",""en"")"),"Open Services Delete Email Pass Pass Pay Account Delete Indra Bekti Jorji Holywings Re")</f>
        <v>Open Services Delete Email Pass Pass Pay Account Delete Indra Bekti Jorji Holywings Re</v>
      </c>
    </row>
    <row r="5686" spans="1:2" x14ac:dyDescent="0.2">
      <c r="A5686" s="1" t="s">
        <v>2091</v>
      </c>
      <c r="B5686" s="1" t="str">
        <f ca="1">IFERROR(__xludf.DUMFUNCTION("GOOGLETRANSLATE(A5858,""id"",""en"")"),"Search Privacy Data ID  Intr Quota Gt Class Middle Amp Hightlevel Transprance Phishing of Class Publict Indonesia Read")</f>
        <v>Search Privacy Data ID  Intr Quota Gt Class Middle Amp Hightlevel Transprance Phishing of Class Publict Indonesia Read</v>
      </c>
    </row>
    <row r="5687" spans="1:2" x14ac:dyDescent="0.2">
      <c r="A5687" s="1" t="s">
        <v>5404</v>
      </c>
      <c r="B5687" s="1" t="str">
        <f ca="1">IFERROR(__xludf.DUMFUNCTION("GOOGLETRANSLATE(A5859,""id"",""en"")")," Proof of  wide wing wing playing big data pure business important business")</f>
        <v xml:space="preserve"> Proof of  wide wing wing playing big data pure business important business</v>
      </c>
    </row>
    <row r="5688" spans="1:2" x14ac:dyDescent="0.2">
      <c r="A5688" s="1" t="s">
        <v>2092</v>
      </c>
      <c r="B5688" s="1" t="str">
        <f ca="1">IFERROR(__xludf.DUMFUNCTION("GOOGLETRANSLATE(A5860,""id"",""en"")"),"Steep Medan Free City Choose what rate is to choose to use  Dex")</f>
        <v>Steep Medan Free City Choose what rate is to choose to use  Dex</v>
      </c>
    </row>
    <row r="5689" spans="1:2" x14ac:dyDescent="0.2">
      <c r="A5689" s="1" t="s">
        <v>2093</v>
      </c>
      <c r="B5689" s="1" t="str">
        <f ca="1">IFERROR(__xludf.DUMFUNCTION("GOOGLETRANSLATE(A5861,""id"",""en"")"),"mah calling the witness, he was present  transparently or not the one who closed it hopefully finished with")</f>
        <v>mah calling the witness, he was present  transparently or not the one who closed it hopefully finished with</v>
      </c>
    </row>
    <row r="5690" spans="1:2" x14ac:dyDescent="0.2">
      <c r="A5690" s="1" t="s">
        <v>5632</v>
      </c>
      <c r="B5690" s="1" t="str">
        <f ca="1">IFERROR(__xludf.DUMFUNCTION("GOOGLETRANSLATE(A5862,""id"",""en"")"),"Pombensin prohibits cellphones to buy BBM using the   application, wonder the country of Wakanda ")</f>
        <v xml:space="preserve">Pombensin prohibits cellphones to buy BBM using the   application, wonder the country of Wakanda </v>
      </c>
    </row>
    <row r="5691" spans="1:2" x14ac:dyDescent="0.2">
      <c r="A5691" s="1" t="s">
        <v>5633</v>
      </c>
      <c r="B5691" s="1" t="str">
        <f ca="1">IFERROR(__xludf.DUMFUNCTION("GOOGLETRANSLATE(A5863,""id"",""en"")")," Test Trial Buy BBM Pertalite Solar Application  Friday July Guys  Pertalite Solar BBM  Jokowi BUMN CekulugedCom")</f>
        <v xml:space="preserve"> Test Trial Buy BBM Pertalite Solar Application  Friday July Guys  Pertalite Solar BBM  Jokowi BUMN CekulugedCom</v>
      </c>
    </row>
    <row r="5692" spans="1:2" x14ac:dyDescent="0.2">
      <c r="A5692" s="1" t="s">
        <v>5634</v>
      </c>
      <c r="B5692" s="1" t="str">
        <f ca="1">IFERROR(__xludf.DUMFUNCTION("GOOGLETRANSLATE(A5864,""id"",""en"")"),"  Pertamax Bright Gas Skuy joined the    guess giveaway")</f>
        <v xml:space="preserve">  Pertamax Bright Gas Skuy joined the    guess giveaway</v>
      </c>
    </row>
    <row r="5693" spans="1:2" x14ac:dyDescent="0.2">
      <c r="A5693" s="1" t="s">
        <v>2094</v>
      </c>
      <c r="B5693" s="1" t="str">
        <f ca="1">IFERROR(__xludf.DUMFUNCTION("GOOGLETRANSLATE(A5865,""id"",""en"")"),"It's not comfortable, Bismillah Director of ")</f>
        <v xml:space="preserve">It's not comfortable, Bismillah Director of </v>
      </c>
    </row>
    <row r="5694" spans="1:2" x14ac:dyDescent="0.2">
      <c r="A5694" s="1" t="s">
        <v>5635</v>
      </c>
      <c r="B5694" s="1" t="str">
        <f ca="1">IFERROR(__xludf.DUMFUNCTION("GOOGLETRANSLATE(A5866,""id"",""en"")"),"using   the system is not responsive to the process transactions are not like shell that already absorbs cashless  slow casless is easy not to spill to buy fuel")</f>
        <v>using   the system is not responsive to the process transactions are not like shell that already absorbs cashless  slow casless is easy not to spill to buy fuel</v>
      </c>
    </row>
    <row r="5695" spans="1:2" x14ac:dyDescent="0.2">
      <c r="A5695" s="1" t="s">
        <v>5636</v>
      </c>
      <c r="B5695" s="1" t="str">
        <f ca="1">IFERROR(__xludf.DUMFUNCTION("GOOGLETRANSLATE(A5867,""id"",""en"")"),"makes it difficult to buy cooking oil must use caring now and more, buy pertalite must use   who should use")</f>
        <v>makes it difficult to buy cooking oil must use caring now and more, buy pertalite must use   who should use</v>
      </c>
    </row>
    <row r="5696" spans="1:2" x14ac:dyDescent="0.2">
      <c r="A5696" s="1" t="s">
        <v>2095</v>
      </c>
      <c r="B5696" s="1" t="str">
        <f ca="1">IFERROR(__xludf.DUMFUNCTION("GOOGLETRANSLATE(A5868,""id"",""en"")"),"'s refinery is adjusted according to")</f>
        <v>'s refinery is adjusted according to</v>
      </c>
    </row>
    <row r="5697" spans="1:2" x14ac:dyDescent="0.2">
      <c r="A5697" s="1" t="s">
        <v>2096</v>
      </c>
      <c r="B5697" s="1" t="str">
        <f ca="1">IFERROR(__xludf.DUMFUNCTION("GOOGLETRANSLATE(A5869,""id"",""en"")"),"'s broadcast site opens July the Pertalite Solar Rights Society List of Kompas Economic Confirmation Sites")</f>
        <v>'s broadcast site opens July the Pertalite Solar Rights Society List of Kompas Economic Confirmation Sites</v>
      </c>
    </row>
    <row r="5698" spans="1:2" x14ac:dyDescent="0.2">
      <c r="A5698" s="1" t="s">
        <v>5637</v>
      </c>
      <c r="B5698" s="1" t="str">
        <f ca="1">IFERROR(__xludf.DUMFUNCTION("GOOGLETRANSLATE(A5870,""id"",""en"")"),"Your dick makes  just throw away your money crazy in using  App Need the Internet")</f>
        <v>Your dick makes  just throw away your money crazy in using  App Need the Internet</v>
      </c>
    </row>
    <row r="5699" spans="1:2" x14ac:dyDescent="0.2">
      <c r="A5699" s="1" t="s">
        <v>5638</v>
      </c>
      <c r="B5699" s="1" t="str">
        <f ca="1">IFERROR(__xludf.DUMFUNCTION("GOOGLETRANSLATE(A5871,""id"",""en"")"),"JULY BUY BBM PETALITE SOLAR MUST REGISTER , LIST")</f>
        <v>JULY BUY BBM PETALITE SOLAR MUST REGISTER , LIST</v>
      </c>
    </row>
    <row r="5700" spans="1:2" x14ac:dyDescent="0.2">
      <c r="A5700" s="1" t="s">
        <v>2097</v>
      </c>
      <c r="B5700" s="1" t="str">
        <f ca="1">IFERROR(__xludf.DUMFUNCTION("GOOGLETRANSLATE(A5872,""id"",""en"")"),"Support  NSEBInybang forbid using a mobile tank from opening the process of Elek Fill")</f>
        <v>Support  NSEBInybang forbid using a mobile tank from opening the process of Elek Fill</v>
      </c>
    </row>
    <row r="5701" spans="1:2" x14ac:dyDescent="0.2">
      <c r="A5701" s="1" t="s">
        <v>5639</v>
      </c>
      <c r="B5701" s="1" t="str">
        <f ca="1">IFERROR(__xludf.DUMFUNCTION("GOOGLETRANSLATE(A5873,""id"",""en"")"),"Buy Cooking Oil Using the Protection Care Application Buy Gasoline Using the   Negeri Application Slowly Banging")</f>
        <v>Buy Cooking Oil Using the Protection Care Application Buy Gasoline Using the   Negeri Application Slowly Banging</v>
      </c>
    </row>
    <row r="5702" spans="1:2" x14ac:dyDescent="0.2">
      <c r="A5702" s="1" t="s">
        <v>206</v>
      </c>
      <c r="B5702" s="1" t="str">
        <f ca="1">IFERROR(__xludf.DUMFUNCTION("GOOGLETRANSLATE(A5874,""id"",""en"")"),"Fie Playing Hp Gas Station Council")</f>
        <v>Fie Playing Hp Gas Station Council</v>
      </c>
    </row>
    <row r="5703" spans="1:2" x14ac:dyDescent="0.2">
      <c r="A5703" s="1" t="s">
        <v>2098</v>
      </c>
      <c r="B5703" s="1" t="str">
        <f ca="1">IFERROR(__xludf.DUMFUNCTION("GOOGLETRANSLATE(A5875,""id"",""en"")"),"Malaysia Kaga Cebonk Petronas Untung Indonesia Cebonk Plus Jkwi  Loss TE")</f>
        <v>Malaysia Kaga Cebonk Petronas Untung Indonesia Cebonk Plus Jkwi  Loss TE</v>
      </c>
    </row>
    <row r="5704" spans="1:2" x14ac:dyDescent="0.2">
      <c r="A5704" s="1" t="s">
        <v>722</v>
      </c>
      <c r="B5704" s="1" t="str">
        <f ca="1">IFERROR(__xludf.DUMFUNCTION("GOOGLETRANSLATE(A5876,""id"",""en"")"),"Econo Minister of State -Owned Enterprises Erick Thohir Price of Fuel Fuel Fuel")</f>
        <v>Econo Minister of State -Owned Enterprises Erick Thohir Price of Fuel Fuel Fuel</v>
      </c>
    </row>
    <row r="5705" spans="1:2" x14ac:dyDescent="0.2">
      <c r="A5705" s="1" t="s">
        <v>2099</v>
      </c>
      <c r="B5705" s="1" t="str">
        <f ca="1">IFERROR(__xludf.DUMFUNCTION("GOOGLETRANSLATE(A5877,""id"",""en"")")," Limit Buy Pertalite Motor Cc")</f>
        <v xml:space="preserve"> Limit Buy Pertalite Motor Cc</v>
      </c>
    </row>
    <row r="5706" spans="1:2" x14ac:dyDescent="0.2">
      <c r="A5706" s="1" t="s">
        <v>723</v>
      </c>
      <c r="B5706" s="1" t="str">
        <f ca="1">IFERROR(__xludf.DUMFUNCTION("GOOGLETRANSLATE(A5878,""id"",""en"")"),"wise paradox alias intelligent one prohibited active cellphone location gas station must love to see ap")</f>
        <v>wise paradox alias intelligent one prohibited active cellphone location gas station must love to see ap</v>
      </c>
    </row>
    <row r="5707" spans="1:2" x14ac:dyDescent="0.2">
      <c r="A5707" s="1" t="s">
        <v>2100</v>
      </c>
      <c r="B5707" s="1" t="str">
        <f ca="1">IFERROR(__xludf.DUMFUNCTION("GOOGLETRANSLATE(A5879,""id"",""en"")"),"Udu ngono lur simple ngene wae seat opo handlebarmu templekki qrcode seko web ")</f>
        <v xml:space="preserve">Udu ngono lur simple ngene wae seat opo handlebarmu templekki qrcode seko web </v>
      </c>
    </row>
    <row r="5708" spans="1:2" x14ac:dyDescent="0.2">
      <c r="A5708" s="1" t="s">
        <v>2101</v>
      </c>
      <c r="B5708" s="1" t="str">
        <f ca="1">IFERROR(__xludf.DUMFUNCTION("GOOGLETRANSLATE(A5880,""id"",""en"")"),"Malaysia Kaga Cebonk Petronas Untung Indonesia Cebonk Plus Jkwi ")</f>
        <v xml:space="preserve">Malaysia Kaga Cebonk Petronas Untung Indonesia Cebonk Plus Jkwi </v>
      </c>
    </row>
    <row r="5709" spans="1:2" x14ac:dyDescent="0.2">
      <c r="A5709" s="1" t="s">
        <v>2102</v>
      </c>
      <c r="B5709" s="1" t="str">
        <f ca="1">IFERROR(__xludf.DUMFUNCTION("GOOGLETRANSLATE(A5881,""id"",""en"")"),"spill cilacap water oil  search because of the source")</f>
        <v>spill cilacap water oil  search because of the source</v>
      </c>
    </row>
    <row r="5710" spans="1:2" x14ac:dyDescent="0.2">
      <c r="A5710" s="1" t="s">
        <v>724</v>
      </c>
      <c r="B5710" s="1" t="str">
        <f ca="1">IFERROR(__xludf.DUMFUNCTION("GOOGLETRANSLATE(A5882,""id"",""en"")"),"Motorcycle Production of injection systems NMEMPANING OKTANCE BBM Use")</f>
        <v>Motorcycle Production of injection systems NMEMPANING OKTANCE BBM Use</v>
      </c>
    </row>
    <row r="5711" spans="1:2" x14ac:dyDescent="0.2">
      <c r="A5711" s="1" t="s">
        <v>2103</v>
      </c>
      <c r="B5711" s="1" t="str">
        <f ca="1">IFERROR(__xludf.DUMFUNCTION("GOOGLETRANSLATE(A5883,""id"",""en"")"),"tuh use a cellphone pay with a link just  nwkwkwk nscnya exactly divide the dispenser")</f>
        <v>tuh use a cellphone pay with a link just  nwkwkwk nscnya exactly divide the dispenser</v>
      </c>
    </row>
    <row r="5712" spans="1:2" x14ac:dyDescent="0.2">
      <c r="A5712" s="1" t="s">
        <v>725</v>
      </c>
      <c r="B5712" s="1" t="str">
        <f ca="1">IFERROR(__xludf.DUMFUNCTION("GOOGLETRANSLATE(A5884,""id"",""en"")"),"Please Stop Order Conditions for Buying Oil Go")</f>
        <v>Please Stop Order Conditions for Buying Oil Go</v>
      </c>
    </row>
    <row r="5713" spans="1:2" x14ac:dyDescent="0.2">
      <c r="A5713" s="1" t="s">
        <v>2930</v>
      </c>
      <c r="B5713" s="1" t="str">
        <f ca="1">IFERROR(__xludf.DUMFUNCTION("GOOGLETRANSLATE(A5885,""id"",""en"")"),"Please stop the mechanism for buying BBM subsidized list applications  has not been")</f>
        <v>Please stop the mechanism for buying BBM subsidized list applications  has not been</v>
      </c>
    </row>
    <row r="5714" spans="1:2" x14ac:dyDescent="0.2">
      <c r="A5714" s="1" t="s">
        <v>5640</v>
      </c>
      <c r="B5714" s="1" t="str">
        <f ca="1">IFERROR(__xludf.DUMFUNCTION("GOOGLETRANSLATE(A5886,""id"",""en"")"),"Buy bulk cooking oil using NIK NIK Cares Protection Nbesi Pertalite Solar Subsidies Using  Application")</f>
        <v>Buy bulk cooking oil using NIK NIK Cares Protection Nbesi Pertalite Solar Subsidies Using  Application</v>
      </c>
    </row>
    <row r="5715" spans="1:2" x14ac:dyDescent="0.2">
      <c r="A5715" s="1" t="s">
        <v>5641</v>
      </c>
      <c r="B5715" s="1" t="str">
        <f ca="1">IFERROR(__xludf.DUMFUNCTION("GOOGLETRANSLATE(A5887,""id"",""en"")"),"The application of   makes it difficult for people to be complicated, it is difficult to add to the difficulty of the people")</f>
        <v>The application of   makes it difficult for people to be complicated, it is difficult to add to the difficulty of the people</v>
      </c>
    </row>
    <row r="5716" spans="1:2" x14ac:dyDescent="0.2">
      <c r="A5716" s="1" t="s">
        <v>2104</v>
      </c>
      <c r="B5716" s="1" t="str">
        <f ca="1">IFERROR(__xludf.DUMFUNCTION("GOOGLETRANSLATE(A5888,""id"",""en"")")," prohibits a cell phone contents of Nalso  fuel buying material")</f>
        <v xml:space="preserve"> prohibits a cell phone contents of Nalso  fuel buying material</v>
      </c>
    </row>
    <row r="5717" spans="1:2" x14ac:dyDescent="0.2">
      <c r="A5717" s="1" t="s">
        <v>726</v>
      </c>
      <c r="B5717" s="1" t="str">
        <f ca="1">IFERROR(__xludf.DUMFUNCTION("GOOGLETRANSLATE(A5889,""id"",""en"")"),"BBM Subsidies State out of subsidized shopping")</f>
        <v>BBM Subsidies State out of subsidized shopping</v>
      </c>
    </row>
    <row r="5718" spans="1:2" x14ac:dyDescent="0.2">
      <c r="A5718" s="1" t="s">
        <v>1011</v>
      </c>
      <c r="B5718" s="1" t="str">
        <f ca="1">IFERROR(__xludf.DUMFUNCTION("GOOGLETRANSLATE(A5890,""id"",""en"")"),"the case of the fuss of the  State Application, the Selected Kilafah System")</f>
        <v>the case of the fuss of the  State Application, the Selected Kilafah System</v>
      </c>
    </row>
    <row r="5719" spans="1:2" x14ac:dyDescent="0.2">
      <c r="A5719" s="1" t="s">
        <v>5642</v>
      </c>
      <c r="B5719" s="1" t="str">
        <f ca="1">IFERROR(__xludf.DUMFUNCTION("GOOGLETRANSLATE(A5891,""id"",""en"")"),"  dick")</f>
        <v xml:space="preserve">  dick</v>
      </c>
    </row>
    <row r="5720" spans="1:2" x14ac:dyDescent="0.2">
      <c r="A5720" s="1" t="s">
        <v>5643</v>
      </c>
      <c r="B5720" s="1" t="str">
        <f ca="1">IFERROR(__xludf.DUMFUNCTION("GOOGLETRANSLATE(A5892,""id"",""en"")"),"where to bring a cellphone, including the building mall using the protection caring for the front of the gasoline using  ")</f>
        <v xml:space="preserve">where to bring a cellphone, including the building mall using the protection caring for the front of the gasoline using  </v>
      </c>
    </row>
    <row r="5721" spans="1:2" x14ac:dyDescent="0.2">
      <c r="A5721" s="1" t="s">
        <v>727</v>
      </c>
      <c r="B5721" s="1" t="str">
        <f ca="1">IFERROR(__xludf.DUMFUNCTION("GOOGLETRANSLATE(A5893,""id"",""en"")"),"ready again if your knees sell the app like die that is shrouded in a lot")</f>
        <v>ready again if your knees sell the app like die that is shrouded in a lot</v>
      </c>
    </row>
    <row r="5722" spans="1:2" x14ac:dyDescent="0.2">
      <c r="A5722" s="1" t="s">
        <v>1001</v>
      </c>
      <c r="B5722" s="1" t="str">
        <f ca="1">IFERROR(__xludf.DUMFUNCTION("GOOGLETRANSLATE(A5894,""id"",""en"")")," era ahok is easy")</f>
        <v xml:space="preserve"> era ahok is easy</v>
      </c>
    </row>
    <row r="5723" spans="1:2" x14ac:dyDescent="0.2">
      <c r="A5723" s="1" t="s">
        <v>5644</v>
      </c>
      <c r="B5723" s="1" t="str">
        <f ca="1">IFERROR(__xludf.DUMFUNCTION("GOOGLETRANSLATE(A5895,""id"",""en"")"),"so that the sense of belonging can get  apps   replace  first name")</f>
        <v>so that the sense of belonging can get  apps   replace  first name</v>
      </c>
    </row>
    <row r="5724" spans="1:2" x14ac:dyDescent="0.2">
      <c r="A5724" s="1" t="s">
        <v>5645</v>
      </c>
      <c r="B5724" s="1" t="str">
        <f ca="1">IFERROR(__xludf.DUMFUNCTION("GOOGLETRANSLATE(A5896,""id"",""en"")"),"procedures for buying fuel applications   danger is also complicated")</f>
        <v>procedures for buying fuel applications   danger is also complicated</v>
      </c>
    </row>
    <row r="5725" spans="1:2" x14ac:dyDescent="0.2">
      <c r="A5725" s="1" t="s">
        <v>1041</v>
      </c>
      <c r="B5725" s="1" t="str">
        <f ca="1">IFERROR(__xludf.DUMFUNCTION("GOOGLETRANSLATE(A5897,""id"",""en"")")," Patra Niaga Sub Holding Commercial AMP Trading PT  Persero Trial Saying PE")</f>
        <v xml:space="preserve"> Patra Niaga Sub Holding Commercial AMP Trading PT  Persero Trial Saying PE</v>
      </c>
    </row>
    <row r="5726" spans="1:2" x14ac:dyDescent="0.2">
      <c r="A5726" s="1" t="s">
        <v>728</v>
      </c>
      <c r="B5726" s="1" t="str">
        <f ca="1">IFERROR(__xludf.DUMFUNCTION("GOOGLETRANSLATE(A5898,""id"",""en"")"),"Already really using the Shell Jabodetabek Nantrian Ga Gaming Point Point")</f>
        <v>Already really using the Shell Jabodetabek Nantrian Ga Gaming Point Point</v>
      </c>
    </row>
    <row r="5727" spans="1:2" x14ac:dyDescent="0.2">
      <c r="A5727" s="1" t="s">
        <v>5646</v>
      </c>
      <c r="B5727" s="1" t="str">
        <f ca="1">IFERROR(__xludf.DUMFUNCTION("GOOGLETRANSLATE(A5899,""id"",""en"")"),"pom gaboleh playing cellphone told to download  ")</f>
        <v xml:space="preserve">pom gaboleh playing cellphone told to download  </v>
      </c>
    </row>
    <row r="5728" spans="1:2" x14ac:dyDescent="0.2">
      <c r="A5728" s="1" t="s">
        <v>729</v>
      </c>
      <c r="B5728" s="1" t="str">
        <f ca="1">IFERROR(__xludf.DUMFUNCTION("GOOGLETRANSLATE(A5900,""id"",""en"")"),"true if  perspective but our society is wow if")</f>
        <v>true if  perspective but our society is wow if</v>
      </c>
    </row>
    <row r="5729" spans="1:2" x14ac:dyDescent="0.2">
      <c r="A5729" s="1" t="s">
        <v>207</v>
      </c>
      <c r="B5729" s="1" t="str">
        <f ca="1">IFERROR(__xludf.DUMFUNCTION("GOOGLETRANSLATE(A5901,""id"",""en"")"),"Bandung gas station is queuing intentionally serving the task pump to move to the contents of Pertamax if")</f>
        <v>Bandung gas station is queuing intentionally serving the task pump to move to the contents of Pertamax if</v>
      </c>
    </row>
    <row r="5730" spans="1:2" x14ac:dyDescent="0.2">
      <c r="A5730" s="1" t="s">
        <v>2105</v>
      </c>
      <c r="B5730" s="1" t="str">
        <f ca="1">IFERROR(__xludf.DUMFUNCTION("GOOGLETRANSLATE(A5902,""id"",""en"")")," matches the number of STNK list buying Pertalite")</f>
        <v xml:space="preserve"> matches the number of STNK list buying Pertalite</v>
      </c>
    </row>
    <row r="5731" spans="1:2" x14ac:dyDescent="0.2">
      <c r="A5731" s="1" t="s">
        <v>5647</v>
      </c>
      <c r="B5731" s="1" t="str">
        <f ca="1">IFERROR(__xludf.DUMFUNCTION("GOOGLETRANSLATE(A5903,""id"",""en"")"),"using   gas station holding a cellphone")</f>
        <v>using   gas station holding a cellphone</v>
      </c>
    </row>
    <row r="5732" spans="1:2" x14ac:dyDescent="0.2">
      <c r="A5732" s="1" t="s">
        <v>5648</v>
      </c>
      <c r="B5732" s="1" t="str">
        <f ca="1">IFERROR(__xludf.DUMFUNCTION("GOOGLETRANSLATE(A5904,""id"",""en"")"),"PT  Laku Test Trial Buy Pertalite Solar  July")</f>
        <v>PT  Laku Test Trial Buy Pertalite Solar  July</v>
      </c>
    </row>
    <row r="5733" spans="1:2" x14ac:dyDescent="0.2">
      <c r="A5733" s="1" t="s">
        <v>5640</v>
      </c>
      <c r="B5733" s="1" t="str">
        <f ca="1">IFERROR(__xludf.DUMFUNCTION("GOOGLETRANSLATE(A5905,""id"",""en"")"),"Buy bulk cooking oil using NIK NIK Cares Protection Nbesi Pertalite Solar Subsidies Using  Application")</f>
        <v>Buy bulk cooking oil using NIK NIK Cares Protection Nbesi Pertalite Solar Subsidies Using  Application</v>
      </c>
    </row>
    <row r="5734" spans="1:2" x14ac:dyDescent="0.2">
      <c r="A5734" s="1" t="s">
        <v>730</v>
      </c>
      <c r="B5734" s="1" t="str">
        <f ca="1">IFERROR(__xludf.DUMFUNCTION("GOOGLETRANSLATE(A5906,""id"",""en"")"),"Hello NSI VERIFICATION OF ACCOUNT CONTENTS OTP CODE CONTRACT TIMEOURUT")</f>
        <v>Hello NSI VERIFICATION OF ACCOUNT CONTENTS OTP CODE CONTRACT TIMEOURUT</v>
      </c>
    </row>
    <row r="5735" spans="1:2" x14ac:dyDescent="0.2">
      <c r="A5735" s="1" t="s">
        <v>731</v>
      </c>
      <c r="B5735" s="1" t="str">
        <f ca="1">IFERROR(__xludf.DUMFUNCTION("GOOGLETRANSLATE(A5907,""id"",""en"")"),"yes, bro, just googling thinking the solution to prohibit IT phones")</f>
        <v>yes, bro, just googling thinking the solution to prohibit IT phones</v>
      </c>
    </row>
    <row r="5736" spans="1:2" x14ac:dyDescent="0.2">
      <c r="A5736" s="1" t="s">
        <v>732</v>
      </c>
      <c r="B5736" s="1" t="str">
        <f ca="1">IFERROR(__xludf.DUMFUNCTION("GOOGLETRANSLATE(A5908,""id"",""en"")"),"Wow, it's not like that, so I will work on the BBM, there")</f>
        <v>Wow, it's not like that, so I will work on the BBM, there</v>
      </c>
    </row>
    <row r="5737" spans="1:2" x14ac:dyDescent="0.2">
      <c r="A5737" s="1" t="s">
        <v>733</v>
      </c>
      <c r="B5737" s="1" t="str">
        <f ca="1">IFERROR(__xludf.DUMFUNCTION("GOOGLETRANSLATE(A5909,""id"",""en"")"),"News of the Coastal Coastal residents of Nusakambangan Cilacap Winning Tump")</f>
        <v>News of the Coastal Coastal residents of Nusakambangan Cilacap Winning Tump</v>
      </c>
    </row>
    <row r="5738" spans="1:2" x14ac:dyDescent="0.2">
      <c r="A5738" s="1" t="s">
        <v>244</v>
      </c>
      <c r="B5738" s="1" t="str">
        <f ca="1">IFERROR(__xludf.DUMFUNCTION("GOOGLETRANSLATE(A5910,""id"",""en"")"),"It's really complicated, the app if it's really oil distribution, yes, the application")</f>
        <v>It's really complicated, the app if it's really oil distribution, yes, the application</v>
      </c>
    </row>
    <row r="5739" spans="1:2" x14ac:dyDescent="0.2">
      <c r="A5739" s="1" t="s">
        <v>2106</v>
      </c>
      <c r="B5739" s="1" t="str">
        <f ca="1">IFERROR(__xludf.DUMFUNCTION("GOOGLETRANSLATE(A5911,""id"",""en"")"),"here if the  punchline app cares about the protection, it's better not to be difficult")</f>
        <v>here if the  punchline app cares about the protection, it's better not to be difficult</v>
      </c>
    </row>
    <row r="5740" spans="1:2" x14ac:dyDescent="0.2">
      <c r="A5740" s="1" t="s">
        <v>2107</v>
      </c>
      <c r="B5740" s="1" t="str">
        <f ca="1">IFERROR(__xludf.DUMFUNCTION("GOOGLETRANSLATE(A5912,""id"",""en"")")," father in the morning is a neighbor of a neighbor apps  nkata bokap who is already old")</f>
        <v xml:space="preserve"> father in the morning is a neighbor of a neighbor apps  nkata bokap who is already old</v>
      </c>
    </row>
    <row r="5741" spans="1:2" x14ac:dyDescent="0.2">
      <c r="A5741" s="1" t="s">
        <v>734</v>
      </c>
      <c r="B5741" s="1" t="str">
        <f ca="1">IFERROR(__xludf.DUMFUNCTION("GOOGLETRANSLATE(A5913,""id"",""en"")"),"Forced the SPBU SPBU community to be contents of BBM, I hope it")</f>
        <v>Forced the SPBU SPBU community to be contents of BBM, I hope it</v>
      </c>
    </row>
    <row r="5742" spans="1:2" x14ac:dyDescent="0.2">
      <c r="A5742" s="1" t="s">
        <v>5649</v>
      </c>
      <c r="B5742" s="1" t="str">
        <f ca="1">IFERROR(__xludf.DUMFUNCTION("GOOGLETRANSLATE(A5914,""id"",""en"")"),"you know, Kowe, I need  , Iki, the list of the NGKO QRCODE NQRCODE IKU ISO DIVONLOT")</f>
        <v>you know, Kowe, I need  , Iki, the list of the NGKO QRCODE NQRCODE IKU ISO DIVONLOT</v>
      </c>
    </row>
    <row r="5743" spans="1:2" x14ac:dyDescent="0.2">
      <c r="A5743" s="1" t="s">
        <v>2108</v>
      </c>
      <c r="B5743" s="1" t="str">
        <f ca="1">IFERROR(__xludf.DUMFUNCTION("GOOGLETRANSLATE(A5915,""id"",""en"")")," Police Goals Go to Pertalite Sasar NPSA Pasng CCTV SPBU KH")</f>
        <v xml:space="preserve"> Police Goals Go to Pertalite Sasar NPSA Pasng CCTV SPBU KH</v>
      </c>
    </row>
    <row r="5744" spans="1:2" x14ac:dyDescent="0.2">
      <c r="A5744" s="1" t="s">
        <v>735</v>
      </c>
      <c r="B5744" s="1" t="str">
        <f ca="1">IFERROR(__xludf.DUMFUNCTION("GOOGLETRANSLATE(A5916,""id"",""en"")"),"just complicated people")</f>
        <v>just complicated people</v>
      </c>
    </row>
    <row r="5745" spans="1:2" x14ac:dyDescent="0.2">
      <c r="A5745" s="1" t="s">
        <v>736</v>
      </c>
      <c r="B5745" s="1" t="str">
        <f ca="1">IFERROR(__xludf.DUMFUNCTION("GOOGLETRANSLATE(A5917,""id"",""en"")"),"Let me be afraid to bring if you durdered to make a groom")</f>
        <v>Let me be afraid to bring if you durdered to make a groom</v>
      </c>
    </row>
    <row r="5746" spans="1:2" x14ac:dyDescent="0.2">
      <c r="A5746" s="1" t="s">
        <v>5036</v>
      </c>
      <c r="B5746" s="1" t="str">
        <f ca="1">IFERROR(__xludf.DUMFUNCTION("GOOGLETRANSLATE(A5918,""id"",""en"")")," fortunately buying a download  billions")</f>
        <v xml:space="preserve"> fortunately buying a download  billions</v>
      </c>
    </row>
    <row r="5747" spans="1:2" x14ac:dyDescent="0.2">
      <c r="A5747" s="1" t="s">
        <v>2109</v>
      </c>
      <c r="B5747" s="1" t="str">
        <f ca="1">IFERROR(__xludf.DUMFUNCTION("GOOGLETRANSLATE(A5919,""id"",""en"")"),"Hanging is important if you are lucky ")</f>
        <v xml:space="preserve">Hanging is important if you are lucky </v>
      </c>
    </row>
    <row r="5748" spans="1:2" x14ac:dyDescent="0.2">
      <c r="A5748" s="1" t="s">
        <v>2110</v>
      </c>
      <c r="B5748" s="1" t="str">
        <f ca="1">IFERROR(__xludf.DUMFUNCTION("GOOGLETRANSLATE(A5920,""id"",""en"")"),"Seblak  Top Bgt")</f>
        <v>Seblak  Top Bgt</v>
      </c>
    </row>
    <row r="5749" spans="1:2" x14ac:dyDescent="0.2">
      <c r="A5749" s="1" t="s">
        <v>2111</v>
      </c>
      <c r="B5749" s="1" t="str">
        <f ca="1">IFERROR(__xludf.DUMFUNCTION("GOOGLETRANSLATE(A5921,""id"",""en"")"),"ak can be silent because of snacks because of ")</f>
        <v xml:space="preserve">ak can be silent because of snacks because of </v>
      </c>
    </row>
    <row r="5750" spans="1:2" x14ac:dyDescent="0.2">
      <c r="A5750" s="1" t="s">
        <v>2105</v>
      </c>
      <c r="B5750" s="1" t="str">
        <f ca="1">IFERROR(__xludf.DUMFUNCTION("GOOGLETRANSLATE(A5922,""id"",""en"")")," matches the number of STNK list buying Pertalite")</f>
        <v xml:space="preserve"> matches the number of STNK list buying Pertalite</v>
      </c>
    </row>
    <row r="5751" spans="1:2" x14ac:dyDescent="0.2">
      <c r="A5751" s="1" t="s">
        <v>737</v>
      </c>
      <c r="B5751" s="1" t="str">
        <f ca="1">IFERROR(__xludf.DUMFUNCTION("GOOGLETRANSLATE(A5923,""id"",""en"")"),"when the hub lifts or not")</f>
        <v>when the hub lifts or not</v>
      </c>
    </row>
    <row r="5752" spans="1:2" x14ac:dyDescent="0.2">
      <c r="A5752" s="1" t="s">
        <v>738</v>
      </c>
      <c r="B5752" s="1" t="str">
        <f ca="1">IFERROR(__xludf.DUMFUNCTION("GOOGLETRANSLATE(A5924,""id"",""en"")"),"it really has a hp area of ​​the gas gas station min")</f>
        <v>it really has a hp area of ​​the gas gas station min</v>
      </c>
    </row>
    <row r="5753" spans="1:2" x14ac:dyDescent="0.2">
      <c r="A5753" s="1" t="s">
        <v>5650</v>
      </c>
      <c r="B5753" s="1" t="str">
        <f ca="1">IFERROR(__xludf.DUMFUNCTION("GOOGLETRANSLATE(A5925,""id"",""en"")"),"yaiyasi   makes it easy to like cashless like I think about the ojol gaksi")</f>
        <v>yaiyasi   makes it easy to like cashless like I think about the ojol gaksi</v>
      </c>
    </row>
    <row r="5754" spans="1:2" x14ac:dyDescent="0.2">
      <c r="A5754" s="1" t="s">
        <v>5646</v>
      </c>
      <c r="B5754" s="1" t="str">
        <f ca="1">IFERROR(__xludf.DUMFUNCTION("GOOGLETRANSLATE(A5926,""id"",""en"")"),"pom gaboleh playing cellphone told to download  ")</f>
        <v xml:space="preserve">pom gaboleh playing cellphone told to download  </v>
      </c>
    </row>
    <row r="5755" spans="1:2" x14ac:dyDescent="0.2">
      <c r="A5755" s="1" t="s">
        <v>328</v>
      </c>
      <c r="B5755" s="1" t="str">
        <f ca="1">IFERROR(__xludf.DUMFUNCTION("GOOGLETRANSLATE(A5927,""id"",""en"")"),"Mas Tri Gold Opportunities Transformation of Green Energy Mining Energy with Ino")</f>
        <v>Mas Tri Gold Opportunities Transformation of Green Energy Mining Energy with Ino</v>
      </c>
    </row>
    <row r="5756" spans="1:2" x14ac:dyDescent="0.2">
      <c r="A5756" s="1" t="s">
        <v>5651</v>
      </c>
      <c r="B5756" s="1" t="str">
        <f ca="1">IFERROR(__xludf.DUMFUNCTION("GOOGLETRANSLATE(A5928,""id"",""en"")"),"Buy Pertalite must use the   application, a citizen of DKI Nyantae, I don't panic, Bang Anies Sol")</f>
        <v>Buy Pertalite must use the   application, a citizen of DKI Nyantae, I don't panic, Bang Anies Sol</v>
      </c>
    </row>
    <row r="5757" spans="1:2" x14ac:dyDescent="0.2">
      <c r="A5757" s="1" t="s">
        <v>5652</v>
      </c>
      <c r="B5757" s="1" t="str">
        <f ca="1">IFERROR(__xludf.DUMFUNCTION("GOOGLETRANSLATE(A5929,""id"",""en"")"),"the heart to the village regime of the village does not know the app   app cares protected jelle")</f>
        <v>the heart to the village regime of the village does not know the app   app cares protected jelle</v>
      </c>
    </row>
    <row r="5758" spans="1:2" x14ac:dyDescent="0.2">
      <c r="A5758" s="1" t="s">
        <v>739</v>
      </c>
      <c r="B5758" s="1" t="str">
        <f ca="1">IFERROR(__xludf.DUMFUNCTION("GOOGLETRANSLATE(A5930,""id"",""en"")"),"Like playing foot, this money is robbed and robbed data nhiiiiikkkkssss")</f>
        <v>Like playing foot, this money is robbed and robbed data nhiiiiikkkkssss</v>
      </c>
    </row>
    <row r="5759" spans="1:2" x14ac:dyDescent="0.2">
      <c r="A5759" s="1" t="s">
        <v>2112</v>
      </c>
      <c r="B5759" s="1" t="str">
        <f ca="1">IFERROR(__xludf.DUMFUNCTION("GOOGLETRANSLATE(A5931,""id"",""en"")"),"Nice Nberu, 's core needs data from people who are like that, the problem of the problem")</f>
        <v>Nice Nberu, 's core needs data from people who are like that, the problem of the problem</v>
      </c>
    </row>
    <row r="5760" spans="1:2" x14ac:dyDescent="0.2">
      <c r="A5760" s="1" t="s">
        <v>740</v>
      </c>
      <c r="B5760" s="1" t="str">
        <f ca="1">IFERROR(__xludf.DUMFUNCTION("GOOGLETRANSLATE(A5932,""id"",""en"")"),"Buahhahahqhqhaha")</f>
        <v>Buahhahahqhqhaha</v>
      </c>
    </row>
    <row r="5761" spans="1:2" x14ac:dyDescent="0.2">
      <c r="A5761" s="1" t="s">
        <v>2113</v>
      </c>
      <c r="B5761" s="1" t="str">
        <f ca="1">IFERROR(__xludf.DUMFUNCTION("GOOGLETRANSLATE(A5933,""id"",""en"")"),"just pay complicated already paid eh , yes,  loss")</f>
        <v>just pay complicated already paid eh , yes,  loss</v>
      </c>
    </row>
    <row r="5762" spans="1:2" x14ac:dyDescent="0.2">
      <c r="A5762" s="1" t="s">
        <v>741</v>
      </c>
      <c r="B5762" s="1" t="str">
        <f ca="1">IFERROR(__xludf.DUMFUNCTION("GOOGLETRANSLATE(A5934,""id"",""en"")"),"bro, I'm not wrong")</f>
        <v>bro, I'm not wrong</v>
      </c>
    </row>
    <row r="5763" spans="1:2" x14ac:dyDescent="0.2">
      <c r="A5763" s="1" t="s">
        <v>2910</v>
      </c>
      <c r="B5763" s="1" t="str">
        <f ca="1">IFERROR(__xludf.DUMFUNCTION("GOOGLETRANSLATE(A5935,""id"",""en"")"),"retweet posting must download the  link application private account, friend period")</f>
        <v>retweet posting must download the  link application private account, friend period</v>
      </c>
    </row>
    <row r="5764" spans="1:2" x14ac:dyDescent="0.2">
      <c r="A5764" s="1" t="s">
        <v>239</v>
      </c>
      <c r="B5764" s="1" t="str">
        <f ca="1">IFERROR(__xludf.DUMFUNCTION("GOOGLETRANSLATE(A5936,""id"",""en"")"),"Easy Must Follow Instagram Twitter Facebook Tiktok Write Jaw")</f>
        <v>Easy Must Follow Instagram Twitter Facebook Tiktok Write Jaw</v>
      </c>
    </row>
    <row r="5765" spans="1:2" x14ac:dyDescent="0.2">
      <c r="A5765" s="1" t="s">
        <v>1126</v>
      </c>
      <c r="B5765" s="1" t="str">
        <f ca="1">IFERROR(__xludf.DUMFUNCTION("GOOGLETRANSLATE(A5937,""id"",""en"")"),"GEPANASIK is present, friend, let's meet  products")</f>
        <v>GEPANASIK is present, friend, let's meet  products</v>
      </c>
    </row>
    <row r="5766" spans="1:2" x14ac:dyDescent="0.2">
      <c r="A5766" s="1" t="s">
        <v>5653</v>
      </c>
      <c r="B5766" s="1" t="str">
        <f ca="1">IFERROR(__xludf.DUMFUNCTION("GOOGLETRANSLATE(A5938,""id"",""en"")"),"I am soeeeeeeeeeeeeeeeeeeeeeeeeeeets prohibit the cellphone gas station now says it is safe for the country")</f>
        <v>I am soeeeeeeeeeeeeeeeeeeeeeeeeeeets prohibit the cellphone gas station now says it is safe for the country</v>
      </c>
    </row>
    <row r="5767" spans="1:2" x14ac:dyDescent="0.2">
      <c r="A5767" s="1" t="s">
        <v>742</v>
      </c>
      <c r="B5767" s="1" t="str">
        <f ca="1">IFERROR(__xludf.DUMFUNCTION("GOOGLETRANSLATE(A5939,""id"",""en"")"),"I don't use a gas station cellphone who has already paid gasoline using the application via cellphone tam")</f>
        <v>I don't use a gas station cellphone who has already paid gasoline using the application via cellphone tam</v>
      </c>
    </row>
    <row r="5768" spans="1:2" x14ac:dyDescent="0.2">
      <c r="A5768" s="1" t="s">
        <v>5654</v>
      </c>
      <c r="B5768" s="1" t="str">
        <f ca="1">IFERROR(__xludf.DUMFUNCTION("GOOGLETRANSLATE(A5940,""id"",""en"")"),"Those who buy pertalite using the   application turn to register apk")</f>
        <v>Those who buy pertalite using the   application turn to register apk</v>
      </c>
    </row>
    <row r="5769" spans="1:2" x14ac:dyDescent="0.2">
      <c r="A5769" s="1" t="s">
        <v>743</v>
      </c>
      <c r="B5769" s="1" t="str">
        <f ca="1">IFERROR(__xludf.DUMFUNCTION("GOOGLETRANSLATE(A5941,""id"",""en"")"),"Nature package loading paying people already queued stations that reject the base of the RU tool")</f>
        <v>Nature package loading paying people already queued stations that reject the base of the RU tool</v>
      </c>
    </row>
    <row r="5770" spans="1:2" x14ac:dyDescent="0.2">
      <c r="A5770" s="1" t="s">
        <v>2114</v>
      </c>
      <c r="B5770" s="1" t="str">
        <f ca="1">IFERROR(__xludf.DUMFUNCTION("GOOGLETRANSLATE(A5942,""id"",""en"")"),"The morning that Ukraine please order , Tegal Regency, Special for Pantura SPBU, Propin Circle")</f>
        <v>The morning that Ukraine please order , Tegal Regency, Special for Pantura SPBU, Propin Circle</v>
      </c>
    </row>
    <row r="5771" spans="1:2" x14ac:dyDescent="0.2">
      <c r="A5771" s="1" t="s">
        <v>1101</v>
      </c>
      <c r="B5771" s="1" t="str">
        <f ca="1">IFERROR(__xludf.DUMFUNCTION("GOOGLETRANSLATE(A5943,""id"",""en"")"),"I hope the benefits of Android mobiles forbid  gas stations with fun")</f>
        <v>I hope the benefits of Android mobiles forbid  gas stations with fun</v>
      </c>
    </row>
    <row r="5772" spans="1:2" x14ac:dyDescent="0.2">
      <c r="A5772" s="1" t="s">
        <v>5655</v>
      </c>
      <c r="B5772" s="1" t="str">
        <f ca="1">IFERROR(__xludf.DUMFUNCTION("GOOGLETRANSLATE(A5944,""id"",""en"")"),"I haha, manehteh, calm, calm, maen mun ker ker, fill in gasoline jol aya set kudu make   gablag")</f>
        <v>I haha, manehteh, calm, calm, maen mun ker ker, fill in gasoline jol aya set kudu make   gablag</v>
      </c>
    </row>
    <row r="5773" spans="1:2" x14ac:dyDescent="0.2">
      <c r="A5773" s="1" t="s">
        <v>744</v>
      </c>
      <c r="B5773" s="1" t="str">
        <f ca="1">IFERROR(__xludf.DUMFUNCTION("GOOGLETRANSLATE(A5945,""id"",""en"")"),"This is true that  topic is a Pertamax consumer so that the engine is durable so it is comfortable")</f>
        <v>This is true that  topic is a Pertamax consumer so that the engine is durable so it is comfortable</v>
      </c>
    </row>
    <row r="5774" spans="1:2" x14ac:dyDescent="0.2">
      <c r="A5774" s="1" t="s">
        <v>2115</v>
      </c>
      <c r="B5774" s="1" t="str">
        <f ca="1">IFERROR(__xludf.DUMFUNCTION("GOOGLETRANSLATE(A5946,""id"",""en"")")," Patra Niaga Sub Holding Commercial AMP Trading PT  Persero Trial Servants")</f>
        <v xml:space="preserve"> Patra Niaga Sub Holding Commercial AMP Trading PT  Persero Trial Servants</v>
      </c>
    </row>
    <row r="5775" spans="1:2" x14ac:dyDescent="0.2">
      <c r="A5775" s="1" t="s">
        <v>2115</v>
      </c>
      <c r="B5775" s="1" t="str">
        <f ca="1">IFERROR(__xludf.DUMFUNCTION("GOOGLETRANSLATE(A5947,""id"",""en"")")," Patra Niaga Sub Holding Commercial AMP Trading PT  Persero Trial Servants")</f>
        <v xml:space="preserve"> Patra Niaga Sub Holding Commercial AMP Trading PT  Persero Trial Servants</v>
      </c>
    </row>
    <row r="5776" spans="1:2" x14ac:dyDescent="0.2">
      <c r="A5776" s="1" t="s">
        <v>2116</v>
      </c>
      <c r="B5776" s="1" t="str">
        <f ca="1">IFERROR(__xludf.DUMFUNCTION("GOOGLETRANSLATE(A5948,""id"",""en"")"),"Fill in  Self Service Gasoline, exactly like Trans TV tremors movies")</f>
        <v>Fill in  Self Service Gasoline, exactly like Trans TV tremors movies</v>
      </c>
    </row>
    <row r="5777" spans="1:2" x14ac:dyDescent="0.2">
      <c r="A5777" s="1" t="s">
        <v>2115</v>
      </c>
      <c r="B5777" s="1" t="str">
        <f ca="1">IFERROR(__xludf.DUMFUNCTION("GOOGLETRANSLATE(A5949,""id"",""en"")")," Patra Niaga Sub Holding Commercial AMP Trading PT  Persero Trial Servants")</f>
        <v xml:space="preserve"> Patra Niaga Sub Holding Commercial AMP Trading PT  Persero Trial Servants</v>
      </c>
    </row>
    <row r="5778" spans="1:2" x14ac:dyDescent="0.2">
      <c r="A5778" s="1" t="s">
        <v>745</v>
      </c>
      <c r="B5778" s="1" t="str">
        <f ca="1">IFERROR(__xludf.DUMFUNCTION("GOOGLETRANSLATE(A5950,""id"",""en"")"),"Web Nahap List To Prepare KTP STNK KENDARA NBUHAN")</f>
        <v>Web Nahap List To Prepare KTP STNK KENDARA NBUHAN</v>
      </c>
    </row>
    <row r="5779" spans="1:2" x14ac:dyDescent="0.2">
      <c r="A5779" s="1" t="s">
        <v>2115</v>
      </c>
      <c r="B5779" s="1" t="str">
        <f ca="1">IFERROR(__xludf.DUMFUNCTION("GOOGLETRANSLATE(A5951,""id"",""en"")")," Patra Niaga Sub Holding Commercial AMP Trading PT  Persero Trial Servants")</f>
        <v xml:space="preserve"> Patra Niaga Sub Holding Commercial AMP Trading PT  Persero Trial Servants</v>
      </c>
    </row>
    <row r="5780" spans="1:2" x14ac:dyDescent="0.2">
      <c r="A5780" s="1" t="s">
        <v>2117</v>
      </c>
      <c r="B5780" s="1" t="str">
        <f ca="1">IFERROR(__xludf.DUMFUNCTION("GOOGLETRANSLATE(A5952,""id"",""en"")"),"only OOT N OBTAINED MAHZAB COMMITTEE COMPLETE")</f>
        <v>only OOT N OBTAINED MAHZAB COMMITTEE COMPLETE</v>
      </c>
    </row>
    <row r="5781" spans="1:2" x14ac:dyDescent="0.2">
      <c r="A5781" s="1" t="s">
        <v>5656</v>
      </c>
      <c r="B5781" s="1" t="str">
        <f ca="1">IFERROR(__xludf.DUMFUNCTION("GOOGLETRANSLATE(A5953,""id"",""en"")"),"List of buying Pertalite Solar   Application Documents")</f>
        <v>List of buying Pertalite Solar   Application Documents</v>
      </c>
    </row>
    <row r="5782" spans="1:2" x14ac:dyDescent="0.2">
      <c r="A5782" s="1" t="s">
        <v>746</v>
      </c>
      <c r="B5782" s="1" t="str">
        <f ca="1">IFERROR(__xludf.DUMFUNCTION("GOOGLETRANSLATE(A5954,""id"",""en"")"),"go to the base make sense men")</f>
        <v>go to the base make sense men</v>
      </c>
    </row>
    <row r="5783" spans="1:2" x14ac:dyDescent="0.2">
      <c r="A5783" s="1" t="s">
        <v>747</v>
      </c>
      <c r="B5783" s="1" t="str">
        <f ca="1">IFERROR(__xludf.DUMFUNCTION("GOOGLETRANSLATE(A5955,""id"",""en"")"),"added the task of the National Police that is mandatory for the application")</f>
        <v>added the task of the National Police that is mandatory for the application</v>
      </c>
    </row>
    <row r="5784" spans="1:2" x14ac:dyDescent="0.2">
      <c r="A5784" s="1" t="s">
        <v>2118</v>
      </c>
      <c r="B5784" s="1" t="str">
        <f ca="1">IFERROR(__xludf.DUMFUNCTION("GOOGLETRANSLATE(A5956,""id"",""en"")"),"premature wise  stupid wise wise wisely")</f>
        <v>premature wise  stupid wise wise wisely</v>
      </c>
    </row>
    <row r="5785" spans="1:2" x14ac:dyDescent="0.2">
      <c r="A5785" s="1" t="s">
        <v>2119</v>
      </c>
      <c r="B5785" s="1" t="str">
        <f ca="1">IFERROR(__xludf.DUMFUNCTION("GOOGLETRANSLATE(A5957,""id"",""en"")"),"take care of Jakarta, it can't take care of  loss")</f>
        <v>take care of Jakarta, it can't take care of  loss</v>
      </c>
    </row>
    <row r="5786" spans="1:2" x14ac:dyDescent="0.2">
      <c r="A5786" s="1" t="s">
        <v>2120</v>
      </c>
      <c r="B5786" s="1" t="str">
        <f ca="1">IFERROR(__xludf.DUMFUNCTION("GOOGLETRANSLATE(A5958,""id"",""en"")")," uses a gas station")</f>
        <v xml:space="preserve"> uses a gas station</v>
      </c>
    </row>
    <row r="5787" spans="1:2" x14ac:dyDescent="0.2">
      <c r="A5787" s="1" t="s">
        <v>266</v>
      </c>
      <c r="B5787" s="1" t="str">
        <f ca="1">IFERROR(__xludf.DUMFUNCTION("GOOGLETRANSLATE(A5960,""id"",""en"")"),"prohibit the style of the style gas station to make it cool")</f>
        <v>prohibit the style of the style gas station to make it cool</v>
      </c>
    </row>
    <row r="5788" spans="1:2" x14ac:dyDescent="0.2">
      <c r="A5788" s="1" t="s">
        <v>5657</v>
      </c>
      <c r="B5788" s="1" t="str">
        <f ca="1">IFERROR(__xludf.DUMFUNCTION("GOOGLETRANSLATE(A5961,""id"",""en"")"),"already tired of  trying fuel bbm until app  bought a huge gasoline")</f>
        <v>already tired of  trying fuel bbm until app  bought a huge gasoline</v>
      </c>
    </row>
    <row r="5789" spans="1:2" x14ac:dyDescent="0.2">
      <c r="A5789" s="1" t="s">
        <v>5658</v>
      </c>
      <c r="B5789" s="1" t="str">
        <f ca="1">IFERROR(__xludf.DUMFUNCTION("GOOGLETRANSLATE(A5962,""id"",""en"")"),"prohibit hp contents bbm gas station pay using the   application")</f>
        <v>prohibit hp contents bbm gas station pay using the   application</v>
      </c>
    </row>
    <row r="5790" spans="1:2" x14ac:dyDescent="0.2">
      <c r="A5790" s="1" t="s">
        <v>5659</v>
      </c>
      <c r="B5790" s="1" t="str">
        <f ca="1">IFERROR(__xludf.DUMFUNCTION("GOOGLETRANSLATE(A5963,""id"",""en"")"),"cigarettes yes gas station area meter distance dispenser filled ")</f>
        <v xml:space="preserve">cigarettes yes gas station area meter distance dispenser filled </v>
      </c>
    </row>
    <row r="5791" spans="1:2" x14ac:dyDescent="0.2">
      <c r="A5791" s="1" t="s">
        <v>2121</v>
      </c>
      <c r="B5791" s="1" t="str">
        <f ca="1">IFERROR(__xludf.DUMFUNCTION("GOOGLETRANSLATE(A5964,""id"",""en"")"),"Non  gas stations are easy to monitor the quality of consumers")</f>
        <v>Non  gas stations are easy to monitor the quality of consumers</v>
      </c>
    </row>
    <row r="5792" spans="1:2" x14ac:dyDescent="0.2">
      <c r="A5792" s="1" t="s">
        <v>265</v>
      </c>
      <c r="B5792" s="1" t="str">
        <f ca="1">IFERROR(__xludf.DUMFUNCTION("GOOGLETRANSLATE(A5965,""id"",""en"")"),"Pa Didu is not playing cellphone gas station ko ambyar man")</f>
        <v>Pa Didu is not playing cellphone gas station ko ambyar man</v>
      </c>
    </row>
    <row r="5793" spans="1:2" x14ac:dyDescent="0.2">
      <c r="A5793" s="1" t="s">
        <v>748</v>
      </c>
      <c r="B5793" s="1" t="str">
        <f ca="1">IFERROR(__xludf.DUMFUNCTION("GOOGLETRANSLATE(A5966,""id"",""en"")"),"Consumers who fill BBM Pertalite Solar if not with a pump with the area of ​​the gas station, ma'am")</f>
        <v>Consumers who fill BBM Pertalite Solar if not with a pump with the area of ​​the gas station, ma'am</v>
      </c>
    </row>
    <row r="5794" spans="1:2" x14ac:dyDescent="0.2">
      <c r="A5794" s="1" t="s">
        <v>2105</v>
      </c>
      <c r="B5794" s="1" t="str">
        <f ca="1">IFERROR(__xludf.DUMFUNCTION("GOOGLETRANSLATE(A5967,""id"",""en"")")," matches the number of STNK list buying Pertalite")</f>
        <v xml:space="preserve"> matches the number of STNK list buying Pertalite</v>
      </c>
    </row>
    <row r="5795" spans="1:2" x14ac:dyDescent="0.2">
      <c r="A5795" s="1" t="s">
        <v>5660</v>
      </c>
      <c r="B5795" s="1" t="str">
        <f ca="1">IFERROR(__xludf.DUMFUNCTION("GOOGLETRANSLATE(A5968,""id"",""en"")"),"PT  Laku Application  Buy BBM Subsidy Subsidies")</f>
        <v>PT  Laku Application  Buy BBM Subsidy Subsidies</v>
      </c>
    </row>
    <row r="5796" spans="1:2" x14ac:dyDescent="0.2">
      <c r="A5796" s="1" t="s">
        <v>5661</v>
      </c>
      <c r="B5796" s="1" t="str">
        <f ca="1">IFERROR(__xludf.DUMFUNCTION("GOOGLETRANSLATE(A5969,""id"",""en"")"),"I'll buy pertalite using   buying Pertamax using protection care")</f>
        <v>I'll buy pertalite using   buying Pertamax using protection care</v>
      </c>
    </row>
    <row r="5797" spans="1:2" x14ac:dyDescent="0.2">
      <c r="A5797" s="1" t="s">
        <v>5662</v>
      </c>
      <c r="B5797" s="1" t="str">
        <f ca="1">IFERROR(__xludf.DUMFUNCTION("GOOGLETRANSLATE(A5970,""id"",""en"")"),"buy pertalite using   the peak of the comedy")</f>
        <v>buy pertalite using   the peak of the comedy</v>
      </c>
    </row>
    <row r="5798" spans="1:2" x14ac:dyDescent="0.2">
      <c r="A5798" s="1" t="s">
        <v>2122</v>
      </c>
      <c r="B5798" s="1" t="str">
        <f ca="1">IFERROR(__xludf.DUMFUNCTION("GOOGLETRANSLATE(A5971,""id"",""en"")"),"Close the Difference in  Action Order")</f>
        <v>Close the Difference in  Action Order</v>
      </c>
    </row>
    <row r="5799" spans="1:2" x14ac:dyDescent="0.2">
      <c r="A5799" s="1" t="s">
        <v>749</v>
      </c>
      <c r="B5799" s="1" t="str">
        <f ca="1">IFERROR(__xludf.DUMFUNCTION("GOOGLETRANSLATE(A5972,""id"",""en"")"),"Nape Gin Mulu Pack Application")</f>
        <v>Nape Gin Mulu Pack Application</v>
      </c>
    </row>
    <row r="5800" spans="1:2" x14ac:dyDescent="0.2">
      <c r="A5800" s="1" t="s">
        <v>2123</v>
      </c>
      <c r="B5800" s="1" t="str">
        <f ca="1">IFERROR(__xludf.DUMFUNCTION("GOOGLETRANSLATE(A5973,""id"",""en"")"),"Open APK  NSPBU Duaarrr")</f>
        <v>Open APK  NSPBU Duaarrr</v>
      </c>
    </row>
    <row r="5801" spans="1:2" x14ac:dyDescent="0.2">
      <c r="A5801" s="1" t="s">
        <v>750</v>
      </c>
      <c r="B5801" s="1" t="str">
        <f ca="1">IFERROR(__xludf.DUMFUNCTION("GOOGLETRANSLATE(A5974,""id"",""en"")"),"Yes Min")</f>
        <v>Yes Min</v>
      </c>
    </row>
    <row r="5802" spans="1:2" x14ac:dyDescent="0.2">
      <c r="A5802" s="1" t="s">
        <v>750</v>
      </c>
      <c r="B5802" s="1" t="str">
        <f ca="1">IFERROR(__xludf.DUMFUNCTION("GOOGLETRANSLATE(A5975,""id"",""en"")"),"Yes Min")</f>
        <v>Yes Min</v>
      </c>
    </row>
    <row r="5803" spans="1:2" x14ac:dyDescent="0.2">
      <c r="A5803" s="1" t="s">
        <v>751</v>
      </c>
      <c r="B5803" s="1" t="str">
        <f ca="1">IFERROR(__xludf.DUMFUNCTION("GOOGLETRANSLATE(A5976,""id"",""en"")"),"wise that makes sense to be funny to ban the gas station but use a cellphone")</f>
        <v>wise that makes sense to be funny to ban the gas station but use a cellphone</v>
      </c>
    </row>
    <row r="5804" spans="1:2" x14ac:dyDescent="0.2">
      <c r="A5804" s="1" t="s">
        <v>2124</v>
      </c>
      <c r="B5804" s="1" t="str">
        <f ca="1">IFERROR(__xludf.DUMFUNCTION("GOOGLETRANSLATE(A5977,""id"",""en"")"),"Mulyani  Loss Rp. Trillion PLN Loss Rp")</f>
        <v>Mulyani  Loss Rp. Trillion PLN Loss Rp</v>
      </c>
    </row>
    <row r="5805" spans="1:2" x14ac:dyDescent="0.2">
      <c r="A5805" s="1" t="s">
        <v>2125</v>
      </c>
      <c r="B5805" s="1" t="str">
        <f ca="1">IFERROR(__xludf.DUMFUNCTION("GOOGLETRANSLATE(A5978,""id"",""en"")"),"complicated after ml  distance recognizes identity via plate using the application is really forced")</f>
        <v>complicated after ml  distance recognizes identity via plate using the application is really forced</v>
      </c>
    </row>
    <row r="5806" spans="1:2" x14ac:dyDescent="0.2">
      <c r="A5806" s="1" t="s">
        <v>2126</v>
      </c>
      <c r="B5806" s="1" t="str">
        <f ca="1">IFERROR(__xludf.DUMFUNCTION("GOOGLETRANSLATE(A5979,""id"",""en"")"),"Here, just give the link to the statement of the Director of  Lang")</f>
        <v>Here, just give the link to the statement of the Director of  Lang</v>
      </c>
    </row>
    <row r="5807" spans="1:2" x14ac:dyDescent="0.2">
      <c r="A5807" s="1" t="s">
        <v>5663</v>
      </c>
      <c r="B5807" s="1" t="str">
        <f ca="1">IFERROR(__xludf.DUMFUNCTION("GOOGLETRANSLATE(A5980,""id"",""en"")")," exit wisely Mandatory List of  Buy Pertalite Solar July SIMAK")</f>
        <v xml:space="preserve"> exit wisely Mandatory List of  Buy Pertalite Solar July SIMAK</v>
      </c>
    </row>
    <row r="5808" spans="1:2" x14ac:dyDescent="0.2">
      <c r="A5808" s="1" t="s">
        <v>5053</v>
      </c>
      <c r="B5808" s="1" t="str">
        <f ca="1">IFERROR(__xludf.DUMFUNCTION("GOOGLETRANSLATE(A5981,""id"",""en"")"),"wisely buy gasoline  application fishing reaction")</f>
        <v>wisely buy gasoline  application fishing reaction</v>
      </c>
    </row>
    <row r="5809" spans="1:2" x14ac:dyDescent="0.2">
      <c r="A5809" s="1" t="s">
        <v>1040</v>
      </c>
      <c r="B5809" s="1" t="str">
        <f ca="1">IFERROR(__xludf.DUMFUNCTION("GOOGLETRANSLATE(A5982,""id"",""en"")"),"Program Installing RFID Buying  Premium Makes Traffic Jams in line")</f>
        <v>Program Installing RFID Buying  Premium Makes Traffic Jams in line</v>
      </c>
    </row>
    <row r="5810" spans="1:2" x14ac:dyDescent="0.2">
      <c r="A5810" s="1" t="s">
        <v>752</v>
      </c>
      <c r="B5810" s="1" t="str">
        <f ca="1">IFERROR(__xludf.DUMFUNCTION("GOOGLETRANSLATE(A5983,""id"",""en"")"),"Find a way out")</f>
        <v>Find a way out</v>
      </c>
    </row>
    <row r="5811" spans="1:2" x14ac:dyDescent="0.2">
      <c r="A5811" s="1" t="s">
        <v>753</v>
      </c>
      <c r="B5811" s="1" t="str">
        <f ca="1">IFERROR(__xludf.DUMFUNCTION("GOOGLETRANSLATE(A5984,""id"",""en"")"),"if it's already already")</f>
        <v>if it's already already</v>
      </c>
    </row>
    <row r="5812" spans="1:2" x14ac:dyDescent="0.2">
      <c r="A5812" s="1" t="s">
        <v>2127</v>
      </c>
      <c r="B5812" s="1" t="str">
        <f ca="1">IFERROR(__xludf.DUMFUNCTION("GOOGLETRANSLATE(A5985,""id"",""en"")"),"Inilo is mantap  as a business to manage natural gas oil mining enter the list of business brands")</f>
        <v>Inilo is mantap  as a business to manage natural gas oil mining enter the list of business brands</v>
      </c>
    </row>
    <row r="5813" spans="1:2" x14ac:dyDescent="0.2">
      <c r="A5813" s="1" t="s">
        <v>5664</v>
      </c>
      <c r="B5813" s="1" t="str">
        <f ca="1">IFERROR(__xludf.DUMFUNCTION("GOOGLETRANSLATE(A5986,""id"",""en"")"),"Open the   application")</f>
        <v>Open the   application</v>
      </c>
    </row>
    <row r="5814" spans="1:2" x14ac:dyDescent="0.2">
      <c r="A5814" s="1" t="s">
        <v>2128</v>
      </c>
      <c r="B5814" s="1" t="str">
        <f ca="1">IFERROR(__xludf.DUMFUNCTION("GOOGLETRANSLATE(A5987,""id"",""en"")"),"Great  as a business to manage natural gas oil mining entered the list of business brands")</f>
        <v>Great  as a business to manage natural gas oil mining entered the list of business brands</v>
      </c>
    </row>
    <row r="5815" spans="1:2" x14ac:dyDescent="0.2">
      <c r="A5815" s="1" t="s">
        <v>4996</v>
      </c>
      <c r="B5815" s="1" t="str">
        <f ca="1">IFERROR(__xludf.DUMFUNCTION("GOOGLETRANSLATE(A5988,""id"",""en"")"),"really desperate to get a data base sitting community until buying gasoline must use the  tam application")</f>
        <v>really desperate to get a data base sitting community until buying gasoline must use the  tam application</v>
      </c>
    </row>
    <row r="5816" spans="1:2" x14ac:dyDescent="0.2">
      <c r="A5816" s="1" t="s">
        <v>2129</v>
      </c>
      <c r="B5816" s="1" t="str">
        <f ca="1">IFERROR(__xludf.DUMFUNCTION("GOOGLETRANSLATE(A5989,""id"",""en"")"),"Cool  as a business of managing natural gas oil mining entered the list of business brands")</f>
        <v>Cool  as a business of managing natural gas oil mining entered the list of business brands</v>
      </c>
    </row>
    <row r="5817" spans="1:2" x14ac:dyDescent="0.2">
      <c r="A5817" s="1" t="s">
        <v>2130</v>
      </c>
      <c r="B5817" s="1" t="str">
        <f ca="1">IFERROR(__xludf.DUMFUNCTION("GOOGLETRANSLATE(A5990,""id"",""en"")"),"Cool  as a business of managing natural gas oil mining entered the list of business brands")</f>
        <v>Cool  as a business of managing natural gas oil mining entered the list of business brands</v>
      </c>
    </row>
    <row r="5818" spans="1:2" x14ac:dyDescent="0.2">
      <c r="A5818" s="1" t="s">
        <v>2131</v>
      </c>
      <c r="B5818" s="1" t="str">
        <f ca="1">IFERROR(__xludf.DUMFUNCTION("GOOGLETRANSLATE(A5991,""id"",""en"")")," Loss Hundred Trillion")</f>
        <v xml:space="preserve"> Loss Hundred Trillion</v>
      </c>
    </row>
    <row r="5819" spans="1:2" x14ac:dyDescent="0.2">
      <c r="A5819" s="1" t="s">
        <v>2130</v>
      </c>
      <c r="B5819" s="1" t="str">
        <f ca="1">IFERROR(__xludf.DUMFUNCTION("GOOGLETRANSLATE(A5992,""id"",""en"")"),"Cool  as a business of managing natural gas oil mining entered the list of business brands")</f>
        <v>Cool  as a business of managing natural gas oil mining entered the list of business brands</v>
      </c>
    </row>
    <row r="5820" spans="1:2" x14ac:dyDescent="0.2">
      <c r="A5820" s="1" t="s">
        <v>2132</v>
      </c>
      <c r="B5820" s="1" t="str">
        <f ca="1">IFERROR(__xludf.DUMFUNCTION("GOOGLETRANSLATE(A5993,""id"",""en"")"),"Joss is  as a business of managing a natural gas oil mining in the list of business brands")</f>
        <v>Joss is  as a business of managing a natural gas oil mining in the list of business brands</v>
      </c>
    </row>
    <row r="5821" spans="1:2" x14ac:dyDescent="0.2">
      <c r="A5821" s="1" t="s">
        <v>5665</v>
      </c>
      <c r="B5821" s="1" t="str">
        <f ca="1">IFERROR(__xludf.DUMFUNCTION("GOOGLETRANSLATE(A5994,""id"",""en"")"),"BPJS is difficult to make   hdehhh")</f>
        <v>BPJS is difficult to make   hdehhh</v>
      </c>
    </row>
    <row r="5822" spans="1:2" x14ac:dyDescent="0.2">
      <c r="A5822" s="1" t="s">
        <v>5666</v>
      </c>
      <c r="B5822" s="1" t="str">
        <f ca="1">IFERROR(__xludf.DUMFUNCTION("GOOGLETRANSLATE(A5995,""id"",""en"")"),"download the list of  applications")</f>
        <v>download the list of  applications</v>
      </c>
    </row>
    <row r="5823" spans="1:2" x14ac:dyDescent="0.2">
      <c r="A5823" s="1" t="s">
        <v>5667</v>
      </c>
      <c r="B5823" s="1" t="str">
        <f ca="1">IFERROR(__xludf.DUMFUNCTION("GOOGLETRANSLATE(A5996,""id"",""en"")"),"Solar Pertalite must fill in the photo data of the STNK   Car Photo with Ka")</f>
        <v>Solar Pertalite must fill in the photo data of the STNK   Car Photo with Ka</v>
      </c>
    </row>
    <row r="5824" spans="1:2" x14ac:dyDescent="0.2">
      <c r="A5824" s="1" t="s">
        <v>2133</v>
      </c>
      <c r="B5824" s="1" t="str">
        <f ca="1">IFERROR(__xludf.DUMFUNCTION("GOOGLETRANSLATE(A5997,""id"",""en"")"),"Mantap  as a business to manage natural gas oil mining entered the list of business brands")</f>
        <v>Mantap  as a business to manage natural gas oil mining entered the list of business brands</v>
      </c>
    </row>
    <row r="5825" spans="1:2" x14ac:dyDescent="0.2">
      <c r="A5825" s="1" t="s">
        <v>2897</v>
      </c>
      <c r="B5825" s="1" t="str">
        <f ca="1">IFERROR(__xludf.DUMFUNCTION("GOOGLETRANSLATE(A5998,""id"",""en"")"),"July therapy provinces buy Pertalite Solar  Tam")</f>
        <v>July therapy provinces buy Pertalite Solar  Tam</v>
      </c>
    </row>
    <row r="5826" spans="1:2" x14ac:dyDescent="0.2">
      <c r="A5826" s="1" t="s">
        <v>5668</v>
      </c>
      <c r="B5826" s="1" t="str">
        <f ca="1">IFERROR(__xludf.DUMFUNCTION("GOOGLETRANSLATE(A5999,""id"",""en"")"),"after downloading  then what do you do")</f>
        <v>after downloading  then what do you do</v>
      </c>
    </row>
    <row r="5827" spans="1:2" x14ac:dyDescent="0.2">
      <c r="A5827" s="1" t="s">
        <v>2134</v>
      </c>
      <c r="B5827" s="1" t="str">
        <f ca="1">IFERROR(__xludf.DUMFUNCTION("GOOGLETRANSLATE(A6000,""id"",""en"")"),"cool looo  as a business to manage natural gas oil mining entered the list of business brands")</f>
        <v>cool looo  as a business to manage natural gas oil mining entered the list of business brands</v>
      </c>
    </row>
    <row r="5828" spans="1:2" x14ac:dyDescent="0.2">
      <c r="A5828" s="1" t="s">
        <v>754</v>
      </c>
      <c r="B5828" s="1" t="str">
        <f ca="1">IFERROR(__xludf.DUMFUNCTION("GOOGLETRANSLATE(A6001,""id"",""en"")"),"July next week of the province")</f>
        <v>July next week of the province</v>
      </c>
    </row>
    <row r="5829" spans="1:2" x14ac:dyDescent="0.2">
      <c r="A5829" s="1" t="s">
        <v>2135</v>
      </c>
      <c r="B5829" s="1" t="str">
        <f ca="1">IFERROR(__xludf.DUMFUNCTION("GOOGLETRANSLATE(A6002,""id"",""en"")"),"Proud of  as a business of managing natural gas oil mining entered the list of companies")</f>
        <v>Proud of  as a business of managing natural gas oil mining entered the list of companies</v>
      </c>
    </row>
    <row r="5830" spans="1:2" x14ac:dyDescent="0.2">
      <c r="A5830" s="1" t="s">
        <v>5669</v>
      </c>
      <c r="B5830" s="1" t="str">
        <f ca="1">IFERROR(__xludf.DUMFUNCTION("GOOGLETRANSLATE(A6003,""id"",""en"")"),"Yo Kudune Neng Biasane Tuku Bengsin Nggo Money Iki Nggo  ")</f>
        <v xml:space="preserve">Yo Kudune Neng Biasane Tuku Bengsin Nggo Money Iki Nggo  </v>
      </c>
    </row>
    <row r="5831" spans="1:2" x14ac:dyDescent="0.2">
      <c r="A5831" s="1" t="s">
        <v>2136</v>
      </c>
      <c r="B5831" s="1" t="str">
        <f ca="1">IFERROR(__xludf.DUMFUNCTION("GOOGLETRANSLATE(A6004,""id"",""en"")"),"Proud of  Business Management of Natural Gas Oil Mining Entering the List of Business Brands")</f>
        <v>Proud of  Business Management of Natural Gas Oil Mining Entering the List of Business Brands</v>
      </c>
    </row>
    <row r="5832" spans="1:2" x14ac:dyDescent="0.2">
      <c r="A5832" s="1" t="s">
        <v>755</v>
      </c>
      <c r="B5832" s="1" t="str">
        <f ca="1">IFERROR(__xludf.DUMFUNCTION("GOOGLETRANSLATE(A6005,""id"",""en"")"),"mutually replace Pertalite Pertamax not the engine effect")</f>
        <v>mutually replace Pertalite Pertamax not the engine effect</v>
      </c>
    </row>
    <row r="5833" spans="1:2" x14ac:dyDescent="0.2">
      <c r="A5833" s="1" t="s">
        <v>756</v>
      </c>
      <c r="B5833" s="1" t="str">
        <f ca="1">IFERROR(__xludf.DUMFUNCTION("GOOGLETRANSLATE(A6006,""id"",""en"")"),"Buy bulk oil using the protection of the aunt's protection, for example, the old generation of the old generation of rice stalls")</f>
        <v>Buy bulk oil using the protection of the aunt's protection, for example, the old generation of the old generation of rice stalls</v>
      </c>
    </row>
    <row r="5834" spans="1:2" x14ac:dyDescent="0.2">
      <c r="A5834" s="1" t="s">
        <v>2137</v>
      </c>
      <c r="B5834" s="1" t="str">
        <f ca="1">IFERROR(__xludf.DUMFUNCTION("GOOGLETRANSLATE(A6007,""id"",""en"")"),"when you just need to give a bargaining  work")</f>
        <v>when you just need to give a bargaining  work</v>
      </c>
    </row>
    <row r="5835" spans="1:2" x14ac:dyDescent="0.2">
      <c r="A5835" s="1" t="s">
        <v>2138</v>
      </c>
      <c r="B5835" s="1" t="str">
        <f ca="1">IFERROR(__xludf.DUMFUNCTION("GOOGLETRANSLATE(A6008,""id"",""en"")"),"Proud of BGT  Business Management of Natural Gas Oil Mining Entering the List of Business Brands")</f>
        <v>Proud of BGT  Business Management of Natural Gas Oil Mining Entering the List of Business Brands</v>
      </c>
    </row>
    <row r="5836" spans="1:2" x14ac:dyDescent="0.2">
      <c r="A5836" s="1" t="s">
        <v>2139</v>
      </c>
      <c r="B5836" s="1" t="str">
        <f ca="1">IFERROR(__xludf.DUMFUNCTION("GOOGLETRANSLATE(A6009,""id"",""en"")")," fortunately selling applications norang bought pay makes it complicated")</f>
        <v xml:space="preserve"> fortunately selling applications norang bought pay makes it complicated</v>
      </c>
    </row>
    <row r="5837" spans="1:2" x14ac:dyDescent="0.2">
      <c r="A5837" s="1" t="s">
        <v>757</v>
      </c>
      <c r="B5837" s="1" t="str">
        <f ca="1">IFERROR(__xludf.DUMFUNCTION("GOOGLETRANSLATE(A6010,""id"",""en"")"),"Check out the Save, Tata Consumer List of Solar Subsidies Pertalite")</f>
        <v>Check out the Save, Tata Consumer List of Solar Subsidies Pertalite</v>
      </c>
    </row>
    <row r="5838" spans="1:2" x14ac:dyDescent="0.2">
      <c r="A5838" s="1" t="s">
        <v>2140</v>
      </c>
      <c r="B5838" s="1" t="str">
        <f ca="1">IFERROR(__xludf.DUMFUNCTION("GOOGLETRANSLATE(A6011,""id"",""en"")"),"Proud  Business Management of Natural Gas Oil Mining Entering the Business Brand List")</f>
        <v>Proud  Business Management of Natural Gas Oil Mining Entering the Business Brand List</v>
      </c>
    </row>
    <row r="5839" spans="1:2" x14ac:dyDescent="0.2">
      <c r="A5839" s="1" t="s">
        <v>1175</v>
      </c>
      <c r="B5839" s="1" t="str">
        <f ca="1">IFERROR(__xludf.DUMFUNCTION("GOOGLETRANSLATE(A6012,""id"",""en"")"),"Tata Consumer List of Solar Subsidies  Energy Energy EnergyTod")</f>
        <v>Tata Consumer List of Solar Subsidies  Energy Energy EnergyTod</v>
      </c>
    </row>
    <row r="5840" spans="1:2" x14ac:dyDescent="0.2">
      <c r="A5840" s="1" t="s">
        <v>2141</v>
      </c>
      <c r="B5840" s="1" t="str">
        <f ca="1">IFERROR(__xludf.DUMFUNCTION("GOOGLETRANSLATE(A6013,""id"",""en"")"),"ahok psi who is nervous, bro, just look at ")</f>
        <v xml:space="preserve">ahok psi who is nervous, bro, just look at </v>
      </c>
    </row>
    <row r="5841" spans="1:2" x14ac:dyDescent="0.2">
      <c r="A5841" s="1" t="s">
        <v>5670</v>
      </c>
      <c r="B5841" s="1" t="str">
        <f ca="1">IFERROR(__xludf.DUMFUNCTION("GOOGLETRANSLATE(A6014,""id"",""en"")"),"Safe to Use  NAPPIRATION HP SPBU")</f>
        <v>Safe to Use  NAPPIRATION HP SPBU</v>
      </c>
    </row>
    <row r="5842" spans="1:2" x14ac:dyDescent="0.2">
      <c r="A5842" s="1" t="s">
        <v>2142</v>
      </c>
      <c r="B5842" s="1" t="str">
        <f ca="1">IFERROR(__xludf.DUMFUNCTION("GOOGLETRANSLATE(A6015,""id"",""en"")"),"South Kalimantan if  chooses to buy it")</f>
        <v>South Kalimantan if  chooses to buy it</v>
      </c>
    </row>
    <row r="5843" spans="1:2" x14ac:dyDescent="0.2">
      <c r="A5843" s="1" t="s">
        <v>2143</v>
      </c>
      <c r="B5843" s="1" t="str">
        <f ca="1">IFERROR(__xludf.DUMFUNCTION("GOOGLETRANSLATE(A6016,""id"",""en"")"),"iki tukune yo still pays to nkok very complicated nopo fortie  akeh je")</f>
        <v>iki tukune yo still pays to nkok very complicated nopo fortie  akeh je</v>
      </c>
    </row>
    <row r="5844" spans="1:2" x14ac:dyDescent="0.2">
      <c r="A5844" s="1" t="s">
        <v>2144</v>
      </c>
      <c r="B5844" s="1" t="str">
        <f ca="1">IFERROR(__xludf.DUMFUNCTION("GOOGLETRANSLATE(A6017,""id"",""en"")"),"BKN Hanaya  cadres from the snout party that is not wrong from the angry who likes porn dito")</f>
        <v>BKN Hanaya  cadres from the snout party that is not wrong from the angry who likes porn dito</v>
      </c>
    </row>
    <row r="5845" spans="1:2" x14ac:dyDescent="0.2">
      <c r="A5845" s="1" t="s">
        <v>758</v>
      </c>
      <c r="B5845" s="1" t="str">
        <f ca="1">IFERROR(__xludf.DUMFUNCTION("GOOGLETRANSLATE(A6018,""id"",""en"")"),"I hope you will be applied to buy a solar pertalite")</f>
        <v>I hope you will be applied to buy a solar pertalite</v>
      </c>
    </row>
    <row r="5846" spans="1:2" x14ac:dyDescent="0.2">
      <c r="A5846" s="1" t="s">
        <v>5671</v>
      </c>
      <c r="B5846" s="1" t="str">
        <f ca="1">IFERROR(__xludf.DUMFUNCTION("GOOGLETRANSLATE(A6019,""id"",""en"")"),"  takes a step to support the president of fuel")</f>
        <v xml:space="preserve">  takes a step to support the president of fuel</v>
      </c>
    </row>
    <row r="5847" spans="1:2" x14ac:dyDescent="0.2">
      <c r="A5847" s="1" t="s">
        <v>5672</v>
      </c>
      <c r="B5847" s="1" t="str">
        <f ca="1">IFERROR(__xludf.DUMFUNCTION("GOOGLETRANSLATE(A6020,""id"",""en"")"),"buy fuel subsidized app   detection buying consumers")</f>
        <v>buy fuel subsidized app   detection buying consumers</v>
      </c>
    </row>
    <row r="5848" spans="1:2" x14ac:dyDescent="0.2">
      <c r="A5848" s="1" t="s">
        <v>5673</v>
      </c>
      <c r="B5848" s="1" t="str">
        <f ca="1">IFERROR(__xludf.DUMFUNCTION("GOOGLETRANSLATE(A6021,""id"",""en"")")," Help  Adjusting to Buy BBM Subsidies")</f>
        <v xml:space="preserve"> Help  Adjusting to Buy BBM Subsidies</v>
      </c>
    </row>
    <row r="5849" spans="1:2" x14ac:dyDescent="0.2">
      <c r="A5849" s="1" t="s">
        <v>5674</v>
      </c>
      <c r="B5849" s="1" t="str">
        <f ca="1">IFERROR(__xludf.DUMFUNCTION("GOOGLETRANSLATE(A6022,""id"",""en"")"),"Society Easy List of Digital  Applications")</f>
        <v>Society Easy List of Digital  Applications</v>
      </c>
    </row>
    <row r="5850" spans="1:2" x14ac:dyDescent="0.2">
      <c r="A5850" s="1" t="s">
        <v>759</v>
      </c>
      <c r="B5850" s="1" t="str">
        <f ca="1">IFERROR(__xludf.DUMFUNCTION("GOOGLETRANSLATE(A6023,""id"",""en"")"),"Yes, Anies stretched the presidential candidate to replace the stretch of Ahok")</f>
        <v>Yes, Anies stretched the presidential candidate to replace the stretch of Ahok</v>
      </c>
    </row>
    <row r="5851" spans="1:2" x14ac:dyDescent="0.2">
      <c r="A5851" s="1" t="s">
        <v>760</v>
      </c>
      <c r="B5851" s="1" t="str">
        <f ca="1">IFERROR(__xludf.DUMFUNCTION("GOOGLETRANSLATE(A6024,""id"",""en"")"),"don't buy a motorcycle")</f>
        <v>don't buy a motorcycle</v>
      </c>
    </row>
    <row r="5852" spans="1:2" x14ac:dyDescent="0.2">
      <c r="A5852" s="1" t="s">
        <v>5675</v>
      </c>
      <c r="B5852" s="1" t="str">
        <f ca="1">IFERROR(__xludf.DUMFUNCTION("GOOGLETRANSLATE(A6025,""id"",""en"")"),"Alas  Adjust BBM BBM Subsidy  Application Undernah Unt")</f>
        <v>Alas  Adjust BBM BBM Subsidy  Application Undernah Unt</v>
      </c>
    </row>
    <row r="5853" spans="1:2" x14ac:dyDescent="0.2">
      <c r="A5853" s="1" t="s">
        <v>2145</v>
      </c>
      <c r="B5853" s="1" t="str">
        <f ca="1">IFERROR(__xludf.DUMFUNCTION("GOOGLETRANSLATE(A6026,""id"",""en"")"),"wise step of PT  Patra Niaga Efforts to Salur BBM Subsidies Salur Solar Pertalite Penu")</f>
        <v>wise step of PT  Patra Niaga Efforts to Salur BBM Subsidies Salur Solar Pertalite Penu</v>
      </c>
    </row>
    <row r="5854" spans="1:2" x14ac:dyDescent="0.2">
      <c r="A5854" s="1" t="s">
        <v>2146</v>
      </c>
      <c r="B5854" s="1" t="str">
        <f ca="1">IFERROR(__xludf.DUMFUNCTION("GOOGLETRANSLATE(A6027,""id"",""en"")"),"great this is PT  Patra Niaga Efforts to Salur BBM Subsidies Salur Solar Pertalite Penu")</f>
        <v>great this is PT  Patra Niaga Efforts to Salur BBM Subsidies Salur Solar Pertalite Penu</v>
      </c>
    </row>
    <row r="5855" spans="1:2" x14ac:dyDescent="0.2">
      <c r="A5855" s="1" t="s">
        <v>2147</v>
      </c>
      <c r="B5855" s="1" t="str">
        <f ca="1">IFERROR(__xludf.DUMFUNCTION("GOOGLETRANSLATE(A6028,""id"",""en"")"),"Cool This is PT  Patra Niaga Efforts to Salur BBM Subsidies")</f>
        <v>Cool This is PT  Patra Niaga Efforts to Salur BBM Subsidies</v>
      </c>
    </row>
    <row r="5856" spans="1:2" x14ac:dyDescent="0.2">
      <c r="A5856" s="1" t="s">
        <v>2148</v>
      </c>
      <c r="B5856" s="1" t="str">
        <f ca="1">IFERROR(__xludf.DUMFUNCTION("GOOGLETRANSLATE(A6029,""id"",""en"")"),"Lo Komut  Napa his spokesman, why is the contract employee, but hopefully your family is happy")</f>
        <v>Lo Komut  Napa his spokesman, why is the contract employee, but hopefully your family is happy</v>
      </c>
    </row>
    <row r="5857" spans="1:2" x14ac:dyDescent="0.2">
      <c r="A5857" s="1" t="s">
        <v>2149</v>
      </c>
      <c r="B5857" s="1" t="str">
        <f ca="1">IFERROR(__xludf.DUMFUNCTION("GOOGLETRANSLATE(A6030,""id"",""en"")")," BBM Subsidized Sasar")</f>
        <v xml:space="preserve"> BBM Subsidized Sasar</v>
      </c>
    </row>
    <row r="5858" spans="1:2" x14ac:dyDescent="0.2">
      <c r="A5858" s="1" t="s">
        <v>2150</v>
      </c>
      <c r="B5858" s="1" t="str">
        <f ca="1">IFERROR(__xludf.DUMFUNCTION("GOOGLETRANSLATE(A6031,""id"",""en"")"),"JOSS In this is PT  Patra Niaga's efforts to salute fuel subsidized solar pertalite penalty")</f>
        <v>JOSS In this is PT  Patra Niaga's efforts to salute fuel subsidized solar pertalite penalty</v>
      </c>
    </row>
    <row r="5859" spans="1:2" x14ac:dyDescent="0.2">
      <c r="A5859" s="1" t="s">
        <v>1145</v>
      </c>
      <c r="B5859" s="1" t="str">
        <f ca="1">IFERROR(__xludf.DUMFUNCTION("GOOGLETRANSLATE(A6032,""id"",""en"")"),"service trial for the list of  Patra Niaga Energytoday")</f>
        <v>service trial for the list of  Patra Niaga Energytoday</v>
      </c>
    </row>
    <row r="5860" spans="1:2" x14ac:dyDescent="0.2">
      <c r="A5860" s="1" t="s">
        <v>2151</v>
      </c>
      <c r="B5860" s="1" t="str">
        <f ca="1">IFERROR(__xludf.DUMFUNCTION("GOOGLETRANSLATE(A6033,""id"",""en"")"),"Mantap Lo PT  Patra Niaga Efforts to Salur BBM Subsidies Salur Solar Pertalite Assistance")</f>
        <v>Mantap Lo PT  Patra Niaga Efforts to Salur BBM Subsidies Salur Solar Pertalite Assistance</v>
      </c>
    </row>
    <row r="5861" spans="1:2" x14ac:dyDescent="0.2">
      <c r="A5861" s="1" t="s">
        <v>2152</v>
      </c>
      <c r="B5861" s="1" t="str">
        <f ca="1">IFERROR(__xludf.DUMFUNCTION("GOOGLETRANSLATE(A6034,""id"",""en"")"),"Cool lo PT  Patra Niaga Efforts to Salur BBM Subsidies")</f>
        <v>Cool lo PT  Patra Niaga Efforts to Salur BBM Subsidies</v>
      </c>
    </row>
    <row r="5862" spans="1:2" x14ac:dyDescent="0.2">
      <c r="A5862" s="1" t="s">
        <v>2153</v>
      </c>
      <c r="B5862" s="1" t="str">
        <f ca="1">IFERROR(__xludf.DUMFUNCTION("GOOGLETRANSLATE(A6035,""id"",""en"")"),"Nesar's business includes a link just  Crazy Ndro Untung")</f>
        <v>Nesar's business includes a link just  Crazy Ndro Untung</v>
      </c>
    </row>
    <row r="5863" spans="1:2" x14ac:dyDescent="0.2">
      <c r="A5863" s="1" t="s">
        <v>2154</v>
      </c>
      <c r="B5863" s="1" t="str">
        <f ca="1">IFERROR(__xludf.DUMFUNCTION("GOOGLETRANSLATE(A6036,""id"",""en"")"),"because of the  office in the DKI region all 's wise direction")</f>
        <v>because of the  office in the DKI region all 's wise direction</v>
      </c>
    </row>
    <row r="5864" spans="1:2" x14ac:dyDescent="0.2">
      <c r="A5864" s="1" t="s">
        <v>2155</v>
      </c>
      <c r="B5864" s="1" t="str">
        <f ca="1">IFERROR(__xludf.DUMFUNCTION("GOOGLETRANSLATE(A6037,""id"",""en"")"),"'s slogan komut ahoax if it's hard to be easy haha")</f>
        <v>'s slogan komut ahoax if it's hard to be easy haha</v>
      </c>
    </row>
    <row r="5865" spans="1:2" x14ac:dyDescent="0.2">
      <c r="A5865" s="1" t="s">
        <v>5137</v>
      </c>
      <c r="B5865" s="1" t="str">
        <f ca="1">IFERROR(__xludf.DUMFUNCTION("GOOGLETRANSLATE(A6038,""id"",""en"")")," trials the system buying solar platforms  ")</f>
        <v xml:space="preserve"> trials the system buying solar platforms  </v>
      </c>
    </row>
    <row r="5866" spans="1:2" x14ac:dyDescent="0.2">
      <c r="A5866" s="1" t="s">
        <v>5676</v>
      </c>
      <c r="B5866" s="1" t="str">
        <f ca="1">IFERROR(__xludf.DUMFUNCTION("GOOGLETRANSLATE(A6039,""id"",""en"")"),"Nek Meh Tuku Gasoline Apk Cares Protection Delete Sek Ben Isoh Download  ")</f>
        <v xml:space="preserve">Nek Meh Tuku Gasoline Apk Cares Protection Delete Sek Ben Isoh Download  </v>
      </c>
    </row>
    <row r="5867" spans="1:2" x14ac:dyDescent="0.2">
      <c r="A5867" s="1" t="s">
        <v>5677</v>
      </c>
      <c r="B5867" s="1" t="str">
        <f ca="1">IFERROR(__xludf.DUMFUNCTION("GOOGLETRANSLATE(A6040,""id"",""en"")"),"Meuli Oil Make Application Cares Protects Meuli Pertalite Jeung Solar Make   Nsieun Engke Pas Cengek Maha")</f>
        <v>Meuli Oil Make Application Cares Protects Meuli Pertalite Jeung Solar Make   Nsieun Engke Pas Cengek Maha</v>
      </c>
    </row>
    <row r="5868" spans="1:2" x14ac:dyDescent="0.2">
      <c r="A5868" s="1" t="s">
        <v>5678</v>
      </c>
      <c r="B5868" s="1" t="str">
        <f ca="1">IFERROR(__xludf.DUMFUNCTION("GOOGLETRANSLATE(A6041,""id"",""en"")"),"  will not keep a bomb to remember the cellphone the signal can not be a trigger")</f>
        <v xml:space="preserve">  will not keep a bomb to remember the cellphone the signal can not be a trigger</v>
      </c>
    </row>
    <row r="5869" spans="1:2" x14ac:dyDescent="0.2">
      <c r="A5869" s="1" t="s">
        <v>761</v>
      </c>
      <c r="B5869" s="1" t="str">
        <f ca="1">IFERROR(__xludf.DUMFUNCTION("GOOGLETRANSLATE(A6042,""id"",""en"")"),"Pecak Solution Solution Solution")</f>
        <v>Pecak Solution Solution Solution</v>
      </c>
    </row>
    <row r="5870" spans="1:2" x14ac:dyDescent="0.2">
      <c r="A5870" s="1" t="s">
        <v>2156</v>
      </c>
      <c r="B5870" s="1" t="str">
        <f ca="1">IFERROR(__xludf.DUMFUNCTION("GOOGLETRANSLATE(A6043,""id"",""en"")"),"I think it's not  using it")</f>
        <v>I think it's not  using it</v>
      </c>
    </row>
    <row r="5871" spans="1:2" x14ac:dyDescent="0.2">
      <c r="A5871" s="1" t="s">
        <v>2157</v>
      </c>
      <c r="B5871" s="1" t="str">
        <f ca="1">IFERROR(__xludf.DUMFUNCTION("GOOGLETRANSLATE(A6044,""id"",""en"")"),"Buy BBM Subscribe Ch Youtubnya  so that the DPR Cuan from Mbah Google")</f>
        <v>Buy BBM Subscribe Ch Youtubnya  so that the DPR Cuan from Mbah Google</v>
      </c>
    </row>
    <row r="5872" spans="1:2" x14ac:dyDescent="0.2">
      <c r="A5872" s="1" t="s">
        <v>2158</v>
      </c>
      <c r="B5872" s="1" t="str">
        <f ca="1">IFERROR(__xludf.DUMFUNCTION("GOOGLETRANSLATE(A6045,""id"",""en"")"),"Payment just use the link to the tank told to use 's apps, you will correct it")</f>
        <v>Payment just use the link to the tank told to use 's apps, you will correct it</v>
      </c>
    </row>
    <row r="5873" spans="1:2" x14ac:dyDescent="0.2">
      <c r="A5873" s="1" t="s">
        <v>2159</v>
      </c>
      <c r="B5873" s="1" t="str">
        <f ca="1">IFERROR(__xludf.DUMFUNCTION("GOOGLETRANSLATE(A6046,""id"",""en"")"),"Lapang Mang SPBU Operators Dah Drained GK GK Pure SPBU owned by  smoothly Jaya")</f>
        <v>Lapang Mang SPBU Operators Dah Drained GK GK Pure SPBU owned by  smoothly Jaya</v>
      </c>
    </row>
    <row r="5874" spans="1:2" x14ac:dyDescent="0.2">
      <c r="A5874" s="1" t="s">
        <v>762</v>
      </c>
      <c r="B5874" s="1" t="str">
        <f ca="1">IFERROR(__xludf.DUMFUNCTION("GOOGLETRANSLATE(A6047,""id"",""en"")"),"kl already list QR Send Email Print Paper Sticker")</f>
        <v>kl already list QR Send Email Print Paper Sticker</v>
      </c>
    </row>
    <row r="5875" spans="1:2" x14ac:dyDescent="0.2">
      <c r="A5875" s="1" t="s">
        <v>2160</v>
      </c>
      <c r="B5875" s="1" t="str">
        <f ca="1">IFERROR(__xludf.DUMFUNCTION("GOOGLETRANSLATE(A6048,""id"",""en"")"),"Mantap NPT  Patra Niaga Efforts to Salur BBM Subsidies Salur Solar Pertalite Penaluses")</f>
        <v>Mantap NPT  Patra Niaga Efforts to Salur BBM Subsidies Salur Solar Pertalite Penaluses</v>
      </c>
    </row>
    <row r="5876" spans="1:2" x14ac:dyDescent="0.2">
      <c r="A5876" s="1" t="s">
        <v>5679</v>
      </c>
      <c r="B5876" s="1" t="str">
        <f ca="1">IFERROR(__xludf.DUMFUNCTION("GOOGLETRANSLATE(A6049,""id"",""en"")"),"  will not keep a bomb to remember the cellphone the signal can not be triggered")</f>
        <v xml:space="preserve">  will not keep a bomb to remember the cellphone the signal can not be triggered</v>
      </c>
    </row>
    <row r="5877" spans="1:2" x14ac:dyDescent="0.2">
      <c r="A5877" s="1" t="s">
        <v>2161</v>
      </c>
      <c r="B5877" s="1" t="str">
        <f ca="1">IFERROR(__xludf.DUMFUNCTION("GOOGLETRANSLATE(A6050,""id"",""en"")"),"PT  Patra Niaga Efforts to Salur BBM Subsidy Salur Solar Pertalite Task")</f>
        <v>PT  Patra Niaga Efforts to Salur BBM Subsidy Salur Solar Pertalite Task</v>
      </c>
    </row>
    <row r="5878" spans="1:2" x14ac:dyDescent="0.2">
      <c r="A5878" s="1" t="s">
        <v>5073</v>
      </c>
      <c r="B5878" s="1" t="str">
        <f ca="1">IFERROR(__xludf.DUMFUNCTION("GOOGLETRANSLATE(A6051,""id"",""en"")"),"  is not a function of KTP, the maximum sitting data is stored")</f>
        <v xml:space="preserve">  is not a function of KTP, the maximum sitting data is stored</v>
      </c>
    </row>
    <row r="5879" spans="1:2" x14ac:dyDescent="0.2">
      <c r="A5879" s="1" t="s">
        <v>2162</v>
      </c>
      <c r="B5879" s="1" t="str">
        <f ca="1">IFERROR(__xludf.DUMFUNCTION("GOOGLETRANSLATE(A6052,""id"",""en"")"),"wta if you buy gasoline now using the  app KTP")</f>
        <v>wta if you buy gasoline now using the  app KTP</v>
      </c>
    </row>
    <row r="5880" spans="1:2" x14ac:dyDescent="0.2">
      <c r="A5880" s="1" t="s">
        <v>2163</v>
      </c>
      <c r="B5880" s="1" t="str">
        <f ca="1">IFERROR(__xludf.DUMFUNCTION("GOOGLETRANSLATE(A6053,""id"",""en"")"),"I lived in Glory until ")</f>
        <v xml:space="preserve">I lived in Glory until </v>
      </c>
    </row>
    <row r="5881" spans="1:2" x14ac:dyDescent="0.2">
      <c r="A5881" s="1" t="s">
        <v>2164</v>
      </c>
      <c r="B5881" s="1" t="str">
        <f ca="1">IFERROR(__xludf.DUMFUNCTION("GOOGLETRANSLATE(A6054,""id"",""en"")"),"Cool NPT  Patra Niaga Efforts to Salur BBM Subsidy Salur Solar Pertalite Task In")</f>
        <v>Cool NPT  Patra Niaga Efforts to Salur BBM Subsidy Salur Solar Pertalite Task In</v>
      </c>
    </row>
    <row r="5882" spans="1:2" x14ac:dyDescent="0.2">
      <c r="A5882" s="1" t="s">
        <v>504</v>
      </c>
      <c r="B5882" s="1" t="str">
        <f ca="1">IFERROR(__xludf.DUMFUNCTION("GOOGLETRANSLATE(A6055,""id"",""en"")"),"teu beurang teu in the afternoon teu peuting hatan nuhun anthriana")</f>
        <v>teu beurang teu in the afternoon teu peuting hatan nuhun anthriana</v>
      </c>
    </row>
    <row r="5883" spans="1:2" x14ac:dyDescent="0.2">
      <c r="A5883" s="1" t="s">
        <v>2165</v>
      </c>
      <c r="B5883" s="1" t="str">
        <f ca="1">IFERROR(__xludf.DUMFUNCTION("GOOGLETRANSLATE(A6056,""id"",""en"")")," trial service Selling Pertalite Solar to register BBM ber")</f>
        <v xml:space="preserve"> trial service Selling Pertalite Solar to register BBM ber</v>
      </c>
    </row>
    <row r="5884" spans="1:2" x14ac:dyDescent="0.2">
      <c r="A5884" s="1" t="s">
        <v>2166</v>
      </c>
      <c r="B5884" s="1" t="str">
        <f ca="1">IFERROR(__xludf.DUMFUNCTION("GOOGLETRANSLATE(A6057,""id"",""en"")"),"Hi friend  nset everyone delicious chicken porridge")</f>
        <v>Hi friend  nset everyone delicious chicken porridge</v>
      </c>
    </row>
    <row r="5885" spans="1:2" x14ac:dyDescent="0.2">
      <c r="A5885" s="1" t="s">
        <v>2167</v>
      </c>
      <c r="B5885" s="1" t="str">
        <f ca="1">IFERROR(__xludf.DUMFUNCTION("GOOGLETRANSLATE(A6058,""id"",""en"")"),"if from the side of , you see the data of the SPBU PE selling and JE")</f>
        <v>if from the side of , you see the data of the SPBU PE selling and JE</v>
      </c>
    </row>
    <row r="5886" spans="1:2" x14ac:dyDescent="0.2">
      <c r="A5886" s="1" t="s">
        <v>2168</v>
      </c>
      <c r="B5886" s="1" t="str">
        <f ca="1">IFERROR(__xludf.DUMFUNCTION("GOOGLETRANSLATE(A6059,""id"",""en"")"),"PT  Patra Niaga Regional West Java Efforts to Savings BBM Subsidized in accordance with AM")</f>
        <v>PT  Patra Niaga Regional West Java Efforts to Savings BBM Subsidized in accordance with AM</v>
      </c>
    </row>
    <row r="5887" spans="1:2" x14ac:dyDescent="0.2">
      <c r="A5887" s="1" t="s">
        <v>763</v>
      </c>
      <c r="B5887" s="1" t="str">
        <f ca="1">IFERROR(__xludf.DUMFUNCTION("GOOGLETRANSLATE(A6060,""id"",""en"")"),"owned by the Octane Cars the Langsite Pertalite will")</f>
        <v>owned by the Octane Cars the Langsite Pertalite will</v>
      </c>
    </row>
    <row r="5888" spans="1:2" x14ac:dyDescent="0.2">
      <c r="A5888" s="1" t="s">
        <v>5680</v>
      </c>
      <c r="B5888" s="1" t="str">
        <f ca="1">IFERROR(__xludf.DUMFUNCTION("GOOGLETRANSLATE(A6061,""id"",""en"")"),"Buy Cooking Oil Using the Protection Care Application Buy Gasoline Using the   Negeri Application Slowly Ber")</f>
        <v>Buy Cooking Oil Using the Protection Care Application Buy Gasoline Using the   Negeri Application Slowly Ber</v>
      </c>
    </row>
    <row r="5889" spans="1:2" x14ac:dyDescent="0.2">
      <c r="A5889" s="1" t="s">
        <v>764</v>
      </c>
      <c r="B5889" s="1" t="str">
        <f ca="1">IFERROR(__xludf.DUMFUNCTION("GOOGLETRANSLATE(A6062,""id"",""en"")"),"Going to brother queuing up pjg amp complicated syny only a system that is like it")</f>
        <v>Going to brother queuing up pjg amp complicated syny only a system that is like it</v>
      </c>
    </row>
    <row r="5890" spans="1:2" x14ac:dyDescent="0.2">
      <c r="A5890" s="1" t="s">
        <v>2169</v>
      </c>
      <c r="B5890" s="1" t="str">
        <f ca="1">IFERROR(__xludf.DUMFUNCTION("GOOGLETRANSLATE(A6063,""id"",""en"")")," Lawak PMLIK ASEM gas station replace the signpost, just make a hassle")</f>
        <v xml:space="preserve"> Lawak PMLIK ASEM gas station replace the signpost, just make a hassle</v>
      </c>
    </row>
    <row r="5891" spans="1:2" x14ac:dyDescent="0.2">
      <c r="A5891" s="1" t="s">
        <v>5681</v>
      </c>
      <c r="B5891" s="1" t="str">
        <f ca="1">IFERROR(__xludf.DUMFUNCTION("GOOGLETRANSLATE(A6064,""id"",""en"")"),"  Application Tangkal Radiation If the application is not yet the application of 's stray transfer")</f>
        <v xml:space="preserve">  Application Tangkal Radiation If the application is not yet the application of 's stray transfer</v>
      </c>
    </row>
    <row r="5892" spans="1:2" x14ac:dyDescent="0.2">
      <c r="A5892" s="1" t="s">
        <v>5682</v>
      </c>
      <c r="B5892" s="1" t="str">
        <f ca="1">IFERROR(__xludf.DUMFUNCTION("GOOGLETRANSLATE(A6065,""id"",""en"")"),"like still list   buy non -subsidized")</f>
        <v>like still list   buy non -subsidized</v>
      </c>
    </row>
    <row r="5893" spans="1:2" x14ac:dyDescent="0.2">
      <c r="A5893" s="1" t="s">
        <v>765</v>
      </c>
      <c r="B5893" s="1" t="str">
        <f ca="1">IFERROR(__xludf.DUMFUNCTION("GOOGLETRANSLATE(A6066,""id"",""en"")"),"for the use of the motorcycle nisi fulltenk motorbike, the motorbike is nagh nagh ruwetnesia, it means forbidden")</f>
        <v>for the use of the motorcycle nisi fulltenk motorbike, the motorbike is nagh nagh ruwetnesia, it means forbidden</v>
      </c>
    </row>
    <row r="5894" spans="1:2" x14ac:dyDescent="0.2">
      <c r="A5894" s="1" t="s">
        <v>5683</v>
      </c>
      <c r="B5894" s="1" t="str">
        <f ca="1">IFERROR(__xludf.DUMFUNCTION("GOOGLETRANSLATE(A6067,""id"",""en"")"),"The applications of the app  must fill in the subsidized car leaked the car")</f>
        <v>The applications of the app  must fill in the subsidized car leaked the car</v>
      </c>
    </row>
    <row r="5895" spans="1:2" x14ac:dyDescent="0.2">
      <c r="A5895" s="1" t="s">
        <v>5684</v>
      </c>
      <c r="B5895" s="1" t="str">
        <f ca="1">IFERROR(__xludf.DUMFUNCTION("GOOGLETRANSLATE(A6068,""id"",""en"")"),"use  used hhhhh  pay using the EDC offline card wkwk")</f>
        <v>use  used hhhhh  pay using the EDC offline card wkwk</v>
      </c>
    </row>
    <row r="5896" spans="1:2" x14ac:dyDescent="0.2">
      <c r="A5896" s="1" t="s">
        <v>2170</v>
      </c>
      <c r="B5896" s="1" t="str">
        <f ca="1">IFERROR(__xludf.DUMFUNCTION("GOOGLETRANSLATE(A6069,""id"",""en"")"),"PT  Patra Niaga Stepping Steps")</f>
        <v>PT  Patra Niaga Stepping Steps</v>
      </c>
    </row>
    <row r="5897" spans="1:2" x14ac:dyDescent="0.2">
      <c r="A5897" s="1" t="s">
        <v>2171</v>
      </c>
      <c r="B5897" s="1" t="str">
        <f ca="1">IFERROR(__xludf.DUMFUNCTION("GOOGLETRANSLATE(A6070,""id"",""en"")"),"PT  Persero  Patra Niaga must buy fuel subsidies from Pertalite Solar Su")</f>
        <v>PT  Persero  Patra Niaga must buy fuel subsidies from Pertalite Solar Su</v>
      </c>
    </row>
    <row r="5898" spans="1:2" x14ac:dyDescent="0.2">
      <c r="A5898" s="1" t="s">
        <v>2172</v>
      </c>
      <c r="B5898" s="1" t="str">
        <f ca="1">IFERROR(__xludf.DUMFUNCTION("GOOGLETRANSLATE(A6071,""id"",""en"")"),"jare dolan hp iso gawe mbledos gas station kuwi hoax source Akeh ning Negeri Naku Ra Mbelani ")</f>
        <v xml:space="preserve">jare dolan hp iso gawe mbledos gas station kuwi hoax source Akeh ning Negeri Naku Ra Mbelani </v>
      </c>
    </row>
    <row r="5899" spans="1:2" x14ac:dyDescent="0.2">
      <c r="A5899" s="1" t="s">
        <v>766</v>
      </c>
      <c r="B5899" s="1" t="str">
        <f ca="1">IFERROR(__xludf.DUMFUNCTION("GOOGLETRANSLATE(A6072,""id"",""en"")"),"yes org replace sm robot of unemployment rates by age")</f>
        <v>yes org replace sm robot of unemployment rates by age</v>
      </c>
    </row>
    <row r="5900" spans="1:2" x14ac:dyDescent="0.2">
      <c r="A5900" s="1" t="s">
        <v>2173</v>
      </c>
      <c r="B5900" s="1" t="str">
        <f ca="1">IFERROR(__xludf.DUMFUNCTION("GOOGLETRANSLATE(A6073,""id"",""en"")"),"Commissioner  Tag Let Action")</f>
        <v>Commissioner  Tag Let Action</v>
      </c>
    </row>
    <row r="5901" spans="1:2" x14ac:dyDescent="0.2">
      <c r="A5901" s="1" t="s">
        <v>2174</v>
      </c>
      <c r="B5901" s="1" t="str">
        <f ca="1">IFERROR(__xludf.DUMFUNCTION("GOOGLETRANSLATE(A6075,""id"",""en"")"),"PT  Persero subsidiary of PT  Patra Niaga Berncana there is a wise hook")</f>
        <v>PT  Persero subsidiary of PT  Patra Niaga Berncana there is a wise hook</v>
      </c>
    </row>
    <row r="5902" spans="1:2" x14ac:dyDescent="0.2">
      <c r="A5902" s="1" t="s">
        <v>2175</v>
      </c>
      <c r="B5902" s="1" t="str">
        <f ca="1">IFERROR(__xludf.DUMFUNCTION("GOOGLETRANSLATE(A6076,""id"",""en"")"),"I don't dare to say  because  friend's friend has the heart to say the Ministry of Social Affairs Esmelon")</f>
        <v>I don't dare to say  because  friend's friend has the heart to say the Ministry of Social Affairs Esmelon</v>
      </c>
    </row>
    <row r="5903" spans="1:2" x14ac:dyDescent="0.2">
      <c r="A5903" s="1" t="s">
        <v>5685</v>
      </c>
      <c r="B5903" s="1" t="str">
        <f ca="1">IFERROR(__xludf.DUMFUNCTION("GOOGLETRANSLATE(A6077,""id"",""en"")"),"Dream yesterday night bought pertalite pom using   nkategory nightmare")</f>
        <v>Dream yesterday night bought pertalite pom using   nkategory nightmare</v>
      </c>
    </row>
    <row r="5904" spans="1:2" x14ac:dyDescent="0.2">
      <c r="A5904" s="1" t="s">
        <v>767</v>
      </c>
      <c r="B5904" s="1" t="str">
        <f ca="1">IFERROR(__xludf.DUMFUNCTION("GOOGLETRANSLATE(A6078,""id"",""en"")"),"Pertamax also subsidized LES normal prices Pertamax market now has touched the price of RB")</f>
        <v>Pertamax also subsidized LES normal prices Pertamax market now has touched the price of RB</v>
      </c>
    </row>
    <row r="5905" spans="1:2" x14ac:dyDescent="0.2">
      <c r="A5905" s="1" t="s">
        <v>2176</v>
      </c>
      <c r="B5905" s="1" t="str">
        <f ca="1">IFERROR(__xludf.DUMFUNCTION("GOOGLETRANSLATE(A6079,""id"",""en"")"),"Cool Thismah N Business Management of Natural Gas Oil Mining Entering the List of Deer Brands")</f>
        <v>Cool Thismah N Business Management of Natural Gas Oil Mining Entering the List of Deer Brands</v>
      </c>
    </row>
    <row r="5906" spans="1:2" x14ac:dyDescent="0.2">
      <c r="A5906" s="1" t="s">
        <v>768</v>
      </c>
      <c r="B5906" s="1" t="str">
        <f ca="1">IFERROR(__xludf.DUMFUNCTION("GOOGLETRANSLATE(A6080,""id"",""en"")"),"I have been in the same class as the original sera ndo -sera, I know Mrs. Ajeng or not")</f>
        <v>I have been in the same class as the original sera ndo -sera, I know Mrs. Ajeng or not</v>
      </c>
    </row>
    <row r="5907" spans="1:2" x14ac:dyDescent="0.2">
      <c r="A5907" s="1" t="s">
        <v>769</v>
      </c>
      <c r="B5907" s="1" t="str">
        <f ca="1">IFERROR(__xludf.DUMFUNCTION("GOOGLETRANSLATE(A6081,""id"",""en"")"),"Save, so I'm not confused about how to list the consume")</f>
        <v>Save, so I'm not confused about how to list the consume</v>
      </c>
    </row>
    <row r="5908" spans="1:2" x14ac:dyDescent="0.2">
      <c r="A5908" s="1" t="s">
        <v>2177</v>
      </c>
      <c r="B5908" s="1" t="str">
        <f ca="1">IFERROR(__xludf.DUMFUNCTION("GOOGLETRANSLATE(A6082,""id"",""en"")"),"steady n business managing natural gas oil entered the list of perus brands")</f>
        <v>steady n business managing natural gas oil entered the list of perus brands</v>
      </c>
    </row>
    <row r="5909" spans="1:2" x14ac:dyDescent="0.2">
      <c r="A5909" s="1" t="s">
        <v>770</v>
      </c>
      <c r="B5909" s="1" t="str">
        <f ca="1">IFERROR(__xludf.DUMFUNCTION("GOOGLETRANSLATE(A6083,""id"",""en"")"),"blh if you play cellphone maaah nyg blh the cellphone turns on")</f>
        <v>blh if you play cellphone maaah nyg blh the cellphone turns on</v>
      </c>
    </row>
    <row r="5910" spans="1:2" x14ac:dyDescent="0.2">
      <c r="A5910" s="1" t="s">
        <v>2178</v>
      </c>
      <c r="B5910" s="1" t="str">
        <f ca="1">IFERROR(__xludf.DUMFUNCTION("GOOGLETRANSLATE(A6084,""id"",""en"")"),"Samsat Register for  API")</f>
        <v>Samsat Register for  API</v>
      </c>
    </row>
    <row r="5911" spans="1:2" x14ac:dyDescent="0.2">
      <c r="A5911" s="1" t="s">
        <v>2179</v>
      </c>
      <c r="B5911" s="1" t="str">
        <f ca="1">IFERROR(__xludf.DUMFUNCTION("GOOGLETRANSLATE(A6085,""id"",""en"")"),"It's hard, if you have a contract, I have a contract to join 's contract to buy Avtur")</f>
        <v>It's hard, if you have a contract, I have a contract to join 's contract to buy Avtur</v>
      </c>
    </row>
    <row r="5912" spans="1:2" x14ac:dyDescent="0.2">
      <c r="A5912" s="1" t="s">
        <v>771</v>
      </c>
      <c r="B5912" s="1" t="str">
        <f ca="1">IFERROR(__xludf.DUMFUNCTION("GOOGLETRANSLATE(A6086,""id"",""en"")"),"while the city trial of the city of the district is good looking for a formula that is fuel")</f>
        <v>while the city trial of the city of the district is good looking for a formula that is fuel</v>
      </c>
    </row>
    <row r="5913" spans="1:2" x14ac:dyDescent="0.2">
      <c r="A5913" s="1" t="s">
        <v>2180</v>
      </c>
      <c r="B5913" s="1" t="str">
        <f ca="1">IFERROR(__xludf.DUMFUNCTION("GOOGLETRANSLATE(A6087,""id"",""en"")"),"cool n business managing natural gas oil entered the list of companies")</f>
        <v>cool n business managing natural gas oil entered the list of companies</v>
      </c>
    </row>
    <row r="5914" spans="1:2" x14ac:dyDescent="0.2">
      <c r="A5914" s="1" t="s">
        <v>2181</v>
      </c>
      <c r="B5914" s="1" t="str">
        <f ca="1">IFERROR(__xludf.DUMFUNCTION("GOOGLETRANSLATE(A6088,""id"",""en"")"),"Alhamdulillah, N, Business Gas Gas Mine Business, Enter the Perus brand list")</f>
        <v>Alhamdulillah, N, Business Gas Gas Mine Business, Enter the Perus brand list</v>
      </c>
    </row>
    <row r="5915" spans="1:2" x14ac:dyDescent="0.2">
      <c r="A5915" s="1" t="s">
        <v>2182</v>
      </c>
      <c r="B5915" s="1" t="str">
        <f ca="1">IFERROR(__xludf.DUMFUNCTION("GOOGLETRANSLATE(A6089,""id"",""en"")"),"cool ni n business managing natural gas oil entered the list of business brands")</f>
        <v>cool ni n business managing natural gas oil entered the list of business brands</v>
      </c>
    </row>
    <row r="5916" spans="1:2" x14ac:dyDescent="0.2">
      <c r="A5916" s="1" t="s">
        <v>2183</v>
      </c>
      <c r="B5916" s="1" t="str">
        <f ca="1">IFERROR(__xludf.DUMFUNCTION("GOOGLETRANSLATE(A6090,""id"",""en"")"),"shock n business managing natural gas oil entered the list of business brands")</f>
        <v>shock n business managing natural gas oil entered the list of business brands</v>
      </c>
    </row>
    <row r="5917" spans="1:2" x14ac:dyDescent="0.2">
      <c r="A5917" s="1" t="s">
        <v>772</v>
      </c>
      <c r="B5917" s="1" t="str">
        <f ca="1">IFERROR(__xludf.DUMFUNCTION("GOOGLETRANSLATE(A6091,""id"",""en"")"),"Going to break up well")</f>
        <v>Going to break up well</v>
      </c>
    </row>
    <row r="5918" spans="1:2" x14ac:dyDescent="0.2">
      <c r="A5918" s="1" t="s">
        <v>5686</v>
      </c>
      <c r="B5918" s="1" t="str">
        <f ca="1">IFERROR(__xludf.DUMFUNCTION("GOOGLETRANSLATE(A6092,""id"",""en"")"),"use   discount or not to use  pay using cash")</f>
        <v>use   discount or not to use  pay using cash</v>
      </c>
    </row>
    <row r="5919" spans="1:2" x14ac:dyDescent="0.2">
      <c r="A5919" s="1" t="s">
        <v>773</v>
      </c>
      <c r="B5919" s="1" t="str">
        <f ca="1">IFERROR(__xludf.DUMFUNCTION("GOOGLETRANSLATE(A6093,""id"",""en"")"),"This is the first time, if you say that the country set a lot of regulations")</f>
        <v>This is the first time, if you say that the country set a lot of regulations</v>
      </c>
    </row>
    <row r="5920" spans="1:2" x14ac:dyDescent="0.2">
      <c r="A5920" s="1" t="s">
        <v>2184</v>
      </c>
      <c r="B5920" s="1" t="str">
        <f ca="1">IFERROR(__xludf.DUMFUNCTION("GOOGLETRANSLATE(A6094,""id"",""en"")"),"Achievement N Business Management of Natural Gas Oil Mining Entering the Business Brand List")</f>
        <v>Achievement N Business Management of Natural Gas Oil Mining Entering the Business Brand List</v>
      </c>
    </row>
    <row r="5921" spans="1:2" x14ac:dyDescent="0.2">
      <c r="A5921" s="1" t="s">
        <v>2185</v>
      </c>
      <c r="B5921" s="1" t="str">
        <f ca="1">IFERROR(__xludf.DUMFUNCTION("GOOGLETRANSLATE(A6095,""id"",""en"")"),"Cool N Business Managing Natural Gas Oil Mining Entering the List of MI Business Brands")</f>
        <v>Cool N Business Managing Natural Gas Oil Mining Entering the List of MI Business Brands</v>
      </c>
    </row>
    <row r="5922" spans="1:2" x14ac:dyDescent="0.2">
      <c r="A5922" s="1" t="s">
        <v>2186</v>
      </c>
      <c r="B5922" s="1" t="str">
        <f ca="1">IFERROR(__xludf.DUMFUNCTION("GOOGLETRANSLATE(A6096,""id"",""en"")"),"Mantap N Business Managing Natural Gas Oil Mining Entering the Business Brand List")</f>
        <v>Mantap N Business Managing Natural Gas Oil Mining Entering the Business Brand List</v>
      </c>
    </row>
    <row r="5923" spans="1:2" x14ac:dyDescent="0.2">
      <c r="A5923" s="1" t="s">
        <v>774</v>
      </c>
      <c r="B5923" s="1" t="str">
        <f ca="1">IFERROR(__xludf.DUMFUNCTION("GOOGLETRANSLATE(A6097,""id"",""en"")"),"ahok salary so it can be komut with a salary facility in a braid in cells")</f>
        <v>ahok salary so it can be komut with a salary facility in a braid in cells</v>
      </c>
    </row>
    <row r="5924" spans="1:2" x14ac:dyDescent="0.2">
      <c r="A5924" s="1" t="s">
        <v>2187</v>
      </c>
      <c r="B5924" s="1" t="str">
        <f ca="1">IFERROR(__xludf.DUMFUNCTION("GOOGLETRANSLATE(A6098,""id"",""en"")")," Business Management of Natural Gas Oil Mining Entering the List of Oil Business Brands and")</f>
        <v xml:space="preserve"> Business Management of Natural Gas Oil Mining Entering the List of Oil Business Brands and</v>
      </c>
    </row>
    <row r="5925" spans="1:2" x14ac:dyDescent="0.2">
      <c r="A5925" s="1" t="s">
        <v>2188</v>
      </c>
      <c r="B5925" s="1" t="str">
        <f ca="1">IFERROR(__xludf.DUMFUNCTION("GOOGLETRANSLATE(A6099,""id"",""en"")"),"Top  doubts the world's national oil and gas business")</f>
        <v>Top  doubts the world's national oil and gas business</v>
      </c>
    </row>
    <row r="5926" spans="1:2" x14ac:dyDescent="0.2">
      <c r="A5926" s="1" t="s">
        <v>2189</v>
      </c>
      <c r="B5926" s="1" t="str">
        <f ca="1">IFERROR(__xludf.DUMFUNCTION("GOOGLETRANSLATE(A6100,""id"",""en"")"),"SATIRE  brakes Luckily the Ahok Politics Taek Identity")</f>
        <v>SATIRE  brakes Luckily the Ahok Politics Taek Identity</v>
      </c>
    </row>
    <row r="5927" spans="1:2" x14ac:dyDescent="0.2">
      <c r="A5927" s="1" t="s">
        <v>775</v>
      </c>
      <c r="B5927" s="1" t="str">
        <f ca="1">IFERROR(__xludf.DUMFUNCTION("GOOGLETRANSLATE(A6101,""id"",""en"")"),"the rights of the economic pertalite who are in the middle of the middle of the sophisticated cellphone")</f>
        <v>the rights of the economic pertalite who are in the middle of the middle of the sophisticated cellphone</v>
      </c>
    </row>
    <row r="5928" spans="1:2" x14ac:dyDescent="0.2">
      <c r="A5928" s="1" t="s">
        <v>776</v>
      </c>
      <c r="B5928" s="1" t="str">
        <f ca="1">IFERROR(__xludf.DUMFUNCTION("GOOGLETRANSLATE(A6102,""id"",""en"")"),"List of Consumers of Solar Subsidies Pertalite July")</f>
        <v>List of Consumers of Solar Subsidies Pertalite July</v>
      </c>
    </row>
    <row r="5929" spans="1:2" x14ac:dyDescent="0.2">
      <c r="A5929" s="1" t="s">
        <v>2190</v>
      </c>
      <c r="B5929" s="1" t="str">
        <f ca="1">IFERROR(__xludf.DUMFUNCTION("GOOGLETRANSLATE(A6103,""id"",""en"")"),"Effective  Ala Selling Pertamax Pertamax Turbo")</f>
        <v>Effective  Ala Selling Pertamax Pertamax Turbo</v>
      </c>
    </row>
    <row r="5930" spans="1:2" x14ac:dyDescent="0.2">
      <c r="A5930" s="1" t="s">
        <v>5687</v>
      </c>
      <c r="B5930" s="1" t="str">
        <f ca="1">IFERROR(__xludf.DUMFUNCTION("GOOGLETRANSLATE(A6104,""id"",""en"")"),"July the   application area Buy Pertalite Solar Diving")</f>
        <v>July the   application area Buy Pertalite Solar Diving</v>
      </c>
    </row>
    <row r="5931" spans="1:2" x14ac:dyDescent="0.2">
      <c r="A5931" s="1" t="s">
        <v>777</v>
      </c>
      <c r="B5931" s="1" t="str">
        <f ca="1">IFERROR(__xludf.DUMFUNCTION("GOOGLETRANSLATE(A6105,""id"",""en"")"),"I don't, I don't buy a liter of money, the contents of the contents")</f>
        <v>I don't, I don't buy a liter of money, the contents of the contents</v>
      </c>
    </row>
    <row r="5932" spans="1:2" x14ac:dyDescent="0.2">
      <c r="A5932" s="1" t="s">
        <v>778</v>
      </c>
      <c r="B5932" s="1" t="str">
        <f ca="1">IFERROR(__xludf.DUMFUNCTION("GOOGLETRANSLATE(A6106,""id"",""en"")"),"Natural countries bankrupt Sri Lanka buy fuel using the requirement to point to the Indonesian token Buy Pertalite DA")</f>
        <v>Natural countries bankrupt Sri Lanka buy fuel using the requirement to point to the Indonesian token Buy Pertalite DA</v>
      </c>
    </row>
    <row r="5933" spans="1:2" x14ac:dyDescent="0.2">
      <c r="A5933" s="1" t="s">
        <v>779</v>
      </c>
      <c r="B5933" s="1" t="str">
        <f ca="1">IFERROR(__xludf.DUMFUNCTION("GOOGLETRANSLATE(A6107,""id"",""en"")"),"Write the answer to the comments column and the Luckyfriday hashtag mention at least the te")</f>
        <v>Write the answer to the comments column and the Luckyfriday hashtag mention at least the te</v>
      </c>
    </row>
    <row r="5934" spans="1:2" x14ac:dyDescent="0.2">
      <c r="A5934" s="1" t="s">
        <v>780</v>
      </c>
      <c r="B5934" s="1" t="str">
        <f ca="1">IFERROR(__xludf.DUMFUNCTION("GOOGLETRANSLATE(A6108,""id"",""en"")"),"Mandatory Follow Instagram Fanpage Twitter Posts")</f>
        <v>Mandatory Follow Instagram Fanpage Twitter Posts</v>
      </c>
    </row>
    <row r="5935" spans="1:2" x14ac:dyDescent="0.2">
      <c r="A5935" s="1" t="s">
        <v>5688</v>
      </c>
      <c r="B5935" s="1" t="str">
        <f ca="1">IFERROR(__xludf.DUMFUNCTION("GOOGLETRANSLATE(A6109,""id"",""en"")"),"Skalian take care of buying pertalite using the   application, how about the story")</f>
        <v>Skalian take care of buying pertalite using the   application, how about the story</v>
      </c>
    </row>
    <row r="5936" spans="1:2" x14ac:dyDescent="0.2">
      <c r="A5936" s="1" t="s">
        <v>2191</v>
      </c>
      <c r="B5936" s="1" t="str">
        <f ca="1">IFERROR(__xludf.DUMFUNCTION("GOOGLETRANSLATE(A6110,""id"",""en"")"),"Cool  The result of AAA brand rating")</f>
        <v>Cool  The result of AAA brand rating</v>
      </c>
    </row>
    <row r="5937" spans="1:2" x14ac:dyDescent="0.2">
      <c r="A5937" s="1" t="s">
        <v>5689</v>
      </c>
      <c r="B5937" s="1" t="str">
        <f ca="1">IFERROR(__xludf.DUMFUNCTION("GOOGLETRANSLATE(A6111,""id"",""en"")")," application is easy to mon")</f>
        <v xml:space="preserve"> application is easy to mon</v>
      </c>
    </row>
    <row r="5938" spans="1:2" x14ac:dyDescent="0.2">
      <c r="A5938" s="1" t="s">
        <v>781</v>
      </c>
      <c r="B5938" s="1" t="str">
        <f ca="1">IFERROR(__xludf.DUMFUNCTION("GOOGLETRANSLATE(A6112,""id"",""en"")"),"ahok jd komut salary")</f>
        <v>ahok jd komut salary</v>
      </c>
    </row>
    <row r="5939" spans="1:2" x14ac:dyDescent="0.2">
      <c r="A5939" s="1" t="s">
        <v>2192</v>
      </c>
      <c r="B5939" s="1" t="str">
        <f ca="1">IFERROR(__xludf.DUMFUNCTION("GOOGLETRANSLATE(A6113,""id"",""en"")"),"MantaaaApps  N The results of the top strongest oil amp gas brand ranked BR")</f>
        <v>MantaaaApps  N The results of the top strongest oil amp gas brand ranked BR</v>
      </c>
    </row>
    <row r="5940" spans="1:2" x14ac:dyDescent="0.2">
      <c r="A5940" s="1" t="s">
        <v>782</v>
      </c>
      <c r="B5940" s="1" t="str">
        <f ca="1">IFERROR(__xludf.DUMFUNCTION("GOOGLETRANSLATE(A6114,""id"",""en"")"),"often stnk the name of the wife nlalu buy a gas station husband's husband nlalu ak")</f>
        <v>often stnk the name of the wife nlalu buy a gas station husband's husband nlalu ak</v>
      </c>
    </row>
    <row r="5941" spans="1:2" x14ac:dyDescent="0.2">
      <c r="A5941" s="1" t="s">
        <v>783</v>
      </c>
      <c r="B5941" s="1" t="str">
        <f ca="1">IFERROR(__xludf.DUMFUNCTION("GOOGLETRANSLATE(A6115,""id"",""en"")"),"Check out the list of consumer lists of solar subsidies pertalite")</f>
        <v>Check out the list of consumer lists of solar subsidies pertalite</v>
      </c>
    </row>
    <row r="5942" spans="1:2" x14ac:dyDescent="0.2">
      <c r="A5942" s="1" t="s">
        <v>5690</v>
      </c>
      <c r="B5942" s="1" t="str">
        <f ca="1">IFERROR(__xludf.DUMFUNCTION("GOOGLETRANSLATE(A6116,""id"",""en"")"),"tight buying fuel Pertalite Solar  Buy BBM must use ")</f>
        <v xml:space="preserve">tight buying fuel Pertalite Solar  Buy BBM must use </v>
      </c>
    </row>
    <row r="5943" spans="1:2" x14ac:dyDescent="0.2">
      <c r="A5943" s="1" t="s">
        <v>5691</v>
      </c>
      <c r="B5943" s="1" t="str">
        <f ca="1">IFERROR(__xludf.DUMFUNCTION("GOOGLETRANSLATE(A6117,""id"",""en"")"),"buy oil using protection care buying gasoline using   bakwan shrimp")</f>
        <v>buy oil using protection care buying gasoline using   bakwan shrimp</v>
      </c>
    </row>
    <row r="5944" spans="1:2" x14ac:dyDescent="0.2">
      <c r="A5944" s="1" t="s">
        <v>784</v>
      </c>
      <c r="B5944" s="1" t="str">
        <f ca="1">IFERROR(__xludf.DUMFUNCTION("GOOGLETRANSLATE(A6118,""id"",""en"")"),"prohibit a gas station gas gas gas station is mandatory")</f>
        <v>prohibit a gas station gas gas gas station is mandatory</v>
      </c>
    </row>
    <row r="5945" spans="1:2" x14ac:dyDescent="0.2">
      <c r="A5945" s="1" t="s">
        <v>5692</v>
      </c>
      <c r="B5945" s="1" t="str">
        <f ca="1">IFERROR(__xludf.DUMFUNCTION("GOOGLETRANSLATE(A6119,""id"",""en"")")," exit wisely mandatory list  Buy Pertalite Solar July Sima")</f>
        <v xml:space="preserve"> exit wisely mandatory list  Buy Pertalite Solar July Sima</v>
      </c>
    </row>
    <row r="5946" spans="1:2" x14ac:dyDescent="0.2">
      <c r="A5946" s="1" t="s">
        <v>2193</v>
      </c>
      <c r="B5946" s="1" t="str">
        <f ca="1">IFERROR(__xludf.DUMFUNCTION("GOOGLETRANSLATE(A6120,""id"",""en"")")," application forms of unclear state BUMN that make sense")</f>
        <v xml:space="preserve"> application forms of unclear state BUMN that make sense</v>
      </c>
    </row>
    <row r="5947" spans="1:2" x14ac:dyDescent="0.2">
      <c r="A5947" s="1" t="s">
        <v>785</v>
      </c>
      <c r="B5947" s="1" t="str">
        <f ca="1">IFERROR(__xludf.DUMFUNCTION("GOOGLETRANSLATE(A6121,""id"",""en"")"),"Dear before entering the area of ​​the Mastiin HP gas station, the minimum mode of aircraft is using the aircraft")</f>
        <v>Dear before entering the area of ​​the Mastiin HP gas station, the minimum mode of aircraft is using the aircraft</v>
      </c>
    </row>
    <row r="5948" spans="1:2" x14ac:dyDescent="0.2">
      <c r="A5948" s="1" t="s">
        <v>786</v>
      </c>
      <c r="B5948" s="1" t="str">
        <f ca="1">IFERROR(__xludf.DUMFUNCTION("GOOGLETRANSLATE(A6122,""id"",""en"")"),"the solar pertalite rights community lists datany")</f>
        <v>the solar pertalite rights community lists datany</v>
      </c>
    </row>
    <row r="5949" spans="1:2" x14ac:dyDescent="0.2">
      <c r="A5949" s="1" t="s">
        <v>787</v>
      </c>
      <c r="B5949" s="1" t="str">
        <f ca="1">IFERROR(__xludf.DUMFUNCTION("GOOGLETRANSLATE(A6123,""id"",""en"")"),"Buy bulk oil using the protection of  aunt's protection, Misuh, for example the old generation")</f>
        <v>Buy bulk oil using the protection of  aunt's protection, Misuh, for example the old generation</v>
      </c>
    </row>
    <row r="5950" spans="1:2" x14ac:dyDescent="0.2">
      <c r="A5950" s="1" t="s">
        <v>2194</v>
      </c>
      <c r="B5950" s="1" t="str">
        <f ca="1">IFERROR(__xludf.DUMFUNCTION("GOOGLETRANSLATE(A6124,""id"",""en"")"),"PT  Patra Niaga Subholding Commercial Amp Trading PT  Persero Trial Limit")</f>
        <v>PT  Patra Niaga Subholding Commercial Amp Trading PT  Persero Trial Limit</v>
      </c>
    </row>
    <row r="5951" spans="1:2" x14ac:dyDescent="0.2">
      <c r="A5951" s="1" t="s">
        <v>5693</v>
      </c>
      <c r="B5951" s="1" t="str">
        <f ca="1">IFERROR(__xludf.DUMFUNCTION("GOOGLETRANSLATE(A6125,""id"",""en"")"),"Install   Direction of the ISO Linkaja Pay System")</f>
        <v>Install   Direction of the ISO Linkaja Pay System</v>
      </c>
    </row>
    <row r="5952" spans="1:2" x14ac:dyDescent="0.2">
      <c r="A5952" s="1" t="s">
        <v>2195</v>
      </c>
      <c r="B5952" s="1" t="str">
        <f ca="1">IFERROR(__xludf.DUMFUNCTION("GOOGLETRANSLATE(A6126,""id"",""en"")"),"July tomorrow  open the process of listing people to buy Pertalite Solar")</f>
        <v>July tomorrow  open the process of listing people to buy Pertalite Solar</v>
      </c>
    </row>
    <row r="5953" spans="1:2" x14ac:dyDescent="0.2">
      <c r="A5953" s="1" t="s">
        <v>2196</v>
      </c>
      <c r="B5953" s="1" t="str">
        <f ca="1">IFERROR(__xludf.DUMFUNCTION("GOOGLETRANSLATE(A6127,""id"",""en"")"),"think gin assuming that gin  money builds infrastructure")</f>
        <v>think gin assuming that gin  money builds infrastructure</v>
      </c>
    </row>
    <row r="5954" spans="1:2" x14ac:dyDescent="0.2">
      <c r="A5954" s="1" t="s">
        <v>1180</v>
      </c>
      <c r="B5954" s="1" t="str">
        <f ca="1">IFERROR(__xludf.DUMFUNCTION("GOOGLETRANSLATE(A6128,""id"",""en"")")," Patra Niaga Testing Pertalite Solar Trial for the List of  Ene")</f>
        <v xml:space="preserve"> Patra Niaga Testing Pertalite Solar Trial for the List of  Ene</v>
      </c>
    </row>
    <row r="5955" spans="1:2" x14ac:dyDescent="0.2">
      <c r="A5955" s="1" t="s">
        <v>2197</v>
      </c>
      <c r="B5955" s="1" t="str">
        <f ca="1">IFERROR(__xludf.DUMFUNCTION("GOOGLETRANSLATE(A6129,""id"",""en"")"),"how about  just galakin people who are luxury cars but using pertalite make a policy that makes people be")</f>
        <v>how about  just galakin people who are luxury cars but using pertalite make a policy that makes people be</v>
      </c>
    </row>
    <row r="5956" spans="1:2" x14ac:dyDescent="0.2">
      <c r="A5956" s="1" t="s">
        <v>5694</v>
      </c>
      <c r="B5956" s="1" t="str">
        <f ca="1">IFERROR(__xludf.DUMFUNCTION("GOOGLETRANSLATE(A6130,""id"",""en"")"),"Actually   peak is the commotion if you've entered   top up using the app link")</f>
        <v>Actually   peak is the commotion if you've entered   top up using the app link</v>
      </c>
    </row>
    <row r="5957" spans="1:2" x14ac:dyDescent="0.2">
      <c r="A5957" s="1" t="s">
        <v>788</v>
      </c>
      <c r="B5957" s="1" t="str">
        <f ca="1">IFERROR(__xludf.DUMFUNCTION("GOOGLETRANSLATE(A6131,""id"",""en"")"),"List of July")</f>
        <v>List of July</v>
      </c>
    </row>
    <row r="5958" spans="1:2" x14ac:dyDescent="0.2">
      <c r="A5958" s="1" t="s">
        <v>2198</v>
      </c>
      <c r="B5958" s="1" t="str">
        <f ca="1">IFERROR(__xludf.DUMFUNCTION("GOOGLETRANSLATE(A6132,""id"",""en"")"),"Top  Professional Believe")</f>
        <v>Top  Professional Believe</v>
      </c>
    </row>
    <row r="5959" spans="1:2" x14ac:dyDescent="0.2">
      <c r="A5959" s="1" t="s">
        <v>789</v>
      </c>
      <c r="B5959" s="1" t="str">
        <f ca="1">IFERROR(__xludf.DUMFUNCTION("GOOGLETRANSLATE(A6133,""id"",""en"")"),"don't think about making it set to fill gasoline must use the app, making it complicated not to use the app.")</f>
        <v>don't think about making it set to fill gasoline must use the app, making it complicated not to use the app.</v>
      </c>
    </row>
    <row r="5960" spans="1:2" x14ac:dyDescent="0.2">
      <c r="A5960" s="1" t="s">
        <v>790</v>
      </c>
      <c r="B5960" s="1" t="str">
        <f ca="1">IFERROR(__xludf.DUMFUNCTION("GOOGLETRANSLATE(A6134,""id"",""en"")"),"Kendara numbers list samsat both nlalu of course that")</f>
        <v>Kendara numbers list samsat both nlalu of course that</v>
      </c>
    </row>
    <row r="5961" spans="1:2" x14ac:dyDescent="0.2">
      <c r="A5961" s="1" t="s">
        <v>791</v>
      </c>
      <c r="B5961" s="1" t="str">
        <f ca="1">IFERROR(__xludf.DUMFUNCTION("GOOGLETRANSLATE(A6135,""id"",""en"")"),"Efforts to order, please provide fuel for the poor of the Indonesian territory")</f>
        <v>Efforts to order, please provide fuel for the poor of the Indonesian territory</v>
      </c>
    </row>
    <row r="5962" spans="1:2" x14ac:dyDescent="0.2">
      <c r="A5962" s="1" t="s">
        <v>5695</v>
      </c>
      <c r="B5962" s="1" t="str">
        <f ca="1">IFERROR(__xludf.DUMFUNCTION("GOOGLETRANSLATE(A6136,""id"",""en"")")," System Help  Suitable Data Use")</f>
        <v xml:space="preserve"> System Help  Suitable Data Use</v>
      </c>
    </row>
    <row r="5963" spans="1:2" x14ac:dyDescent="0.2">
      <c r="A5963" s="1" t="s">
        <v>2199</v>
      </c>
      <c r="B5963" s="1" t="str">
        <f ca="1">IFERROR(__xludf.DUMFUNCTION("GOOGLETRANSLATE(A6137,""id"",""en"")"),"Congratulations,  N entered the world of world strongst oil amp gas brands mantaaaapps")</f>
        <v>Congratulations,  N entered the world of world strongst oil amp gas brands mantaaaapps</v>
      </c>
    </row>
    <row r="5964" spans="1:2" x14ac:dyDescent="0.2">
      <c r="A5964" s="1" t="s">
        <v>792</v>
      </c>
      <c r="B5964" s="1" t="str">
        <f ca="1">IFERROR(__xludf.DUMFUNCTION("GOOGLETRANSLATE(A6138,""id"",""en"")"),"Natural Country Bankrupt Sri Lanka Buy BBM Using the Terms to Point Indonesian Token Buy Pertalite")</f>
        <v>Natural Country Bankrupt Sri Lanka Buy BBM Using the Terms to Point Indonesian Token Buy Pertalite</v>
      </c>
    </row>
    <row r="5965" spans="1:2" x14ac:dyDescent="0.2">
      <c r="A5965" s="1" t="s">
        <v>382</v>
      </c>
      <c r="B5965" s="1" t="str">
        <f ca="1">IFERROR(__xludf.DUMFUNCTION("GOOGLETRANSLATE(A6139,""id"",""en"")"),"Please require the condition of the people who buy the right to fuel subsidized mechanism for buying fuel")</f>
        <v>Please require the condition of the people who buy the right to fuel subsidized mechanism for buying fuel</v>
      </c>
    </row>
    <row r="5966" spans="1:2" x14ac:dyDescent="0.2">
      <c r="A5966" s="1" t="s">
        <v>793</v>
      </c>
      <c r="B5966" s="1" t="str">
        <f ca="1">IFERROR(__xludf.DUMFUNCTION("GOOGLETRANSLATE(A6140,""id"",""en"")"),"Let's list the right to list")</f>
        <v>Let's list the right to list</v>
      </c>
    </row>
    <row r="5967" spans="1:2" x14ac:dyDescent="0.2">
      <c r="A5967" s="1" t="s">
        <v>2200</v>
      </c>
      <c r="B5967" s="1" t="str">
        <f ca="1">IFERROR(__xludf.DUMFUNCTION("GOOGLETRANSLATE(A6141,""id"",""en"")"),"Reliable Professional N Sort World Strongest Oil Amp Gas Brands Congratulations")</f>
        <v>Reliable Professional N Sort World Strongest Oil Amp Gas Brands Congratulations</v>
      </c>
    </row>
    <row r="5968" spans="1:2" x14ac:dyDescent="0.2">
      <c r="A5968" s="1" t="s">
        <v>2201</v>
      </c>
      <c r="B5968" s="1" t="str">
        <f ca="1">IFERROR(__xludf.DUMFUNCTION("GOOGLETRANSLATE(A6142,""id"",""en"")"),"Yes, I have a  gas station through the BP gas station.")</f>
        <v>Yes, I have a  gas station through the BP gas station.</v>
      </c>
    </row>
    <row r="5969" spans="1:2" x14ac:dyDescent="0.2">
      <c r="A5969" s="1" t="s">
        <v>794</v>
      </c>
      <c r="B5969" s="1" t="str">
        <f ca="1">IFERROR(__xludf.DUMFUNCTION("GOOGLETRANSLATE(A6143,""id"",""en"")"),"brrti dated July playing cellphone, gas station")</f>
        <v>brrti dated July playing cellphone, gas station</v>
      </c>
    </row>
    <row r="5970" spans="1:2" x14ac:dyDescent="0.2">
      <c r="A5970" s="1" t="s">
        <v>1704</v>
      </c>
      <c r="B5970" s="1" t="str">
        <f ca="1">IFERROR(__xludf.DUMFUNCTION("GOOGLETRANSLATE(A6144,""id"",""en"")")," results from AAA brand rating")</f>
        <v xml:space="preserve"> results from AAA brand rating</v>
      </c>
    </row>
    <row r="5971" spans="1:2" x14ac:dyDescent="0.2">
      <c r="A5971" s="1" t="s">
        <v>1179</v>
      </c>
      <c r="B5971" s="1" t="str">
        <f ca="1">IFERROR(__xludf.DUMFUNCTION("GOOGLETRANSLATE(A6145,""id"",""en"")"),"Emotional Functional Benefits of 's Emotional Entering Top Strongest Oil Amp Gas Bra")</f>
        <v>Emotional Functional Benefits of 's Emotional Entering Top Strongest Oil Amp Gas Bra</v>
      </c>
    </row>
    <row r="5972" spans="1:2" x14ac:dyDescent="0.2">
      <c r="A5972" s="1" t="s">
        <v>5696</v>
      </c>
      <c r="B5972" s="1" t="str">
        <f ca="1">IFERROR(__xludf.DUMFUNCTION("GOOGLETRANSLATE(A6146,""id"",""en"")"),"after downloading, just make a   link, the link is cool when filling the margonda clock yet")</f>
        <v>after downloading, just make a   link, the link is cool when filling the margonda clock yet</v>
      </c>
    </row>
    <row r="5973" spans="1:2" x14ac:dyDescent="0.2">
      <c r="A5973" s="1" t="s">
        <v>2202</v>
      </c>
      <c r="B5973" s="1" t="str">
        <f ca="1">IFERROR(__xludf.DUMFUNCTION("GOOGLETRANSLATE(A6147,""id"",""en"")"),"mantaaap n enters Falam Top Strongest Oil Amp Gas Brand")</f>
        <v>mantaaap n enters Falam Top Strongest Oil Amp Gas Brand</v>
      </c>
    </row>
    <row r="5974" spans="1:2" x14ac:dyDescent="0.2">
      <c r="A5974" s="1" t="s">
        <v>5697</v>
      </c>
      <c r="B5974" s="1" t="str">
        <f ca="1">IFERROR(__xludf.DUMFUNCTION("GOOGLETRANSLATE(A6148,""id"",""en"")"),"Because the   application doesn't sell well")</f>
        <v>Because the   application doesn't sell well</v>
      </c>
    </row>
    <row r="5975" spans="1:2" x14ac:dyDescent="0.2">
      <c r="A5975" s="1" t="s">
        <v>2203</v>
      </c>
      <c r="B5975" s="1" t="str">
        <f ca="1">IFERROR(__xludf.DUMFUNCTION("GOOGLETRANSLATE(A6149,""id"",""en"")"),"Wow 's success")</f>
        <v>Wow 's success</v>
      </c>
    </row>
    <row r="5976" spans="1:2" x14ac:dyDescent="0.2">
      <c r="A5976" s="1" t="s">
        <v>795</v>
      </c>
      <c r="B5976" s="1" t="str">
        <f ca="1">IFERROR(__xludf.DUMFUNCTION("GOOGLETRANSLATE(A6150,""id"",""en"")"),"Nyapres makes you wise")</f>
        <v>Nyapres makes you wise</v>
      </c>
    </row>
    <row r="5977" spans="1:2" x14ac:dyDescent="0.2">
      <c r="A5977" s="1" t="s">
        <v>2204</v>
      </c>
      <c r="B5977" s="1" t="str">
        <f ca="1">IFERROR(__xludf.DUMFUNCTION("GOOGLETRANSLATE(A6151,""id"",""en"")"),"DIY Polda press conference  revealed the crime of misuse of fuel transportation subsidized bio sol")</f>
        <v>DIY Polda press conference  revealed the crime of misuse of fuel transportation subsidized bio sol</v>
      </c>
    </row>
    <row r="5978" spans="1:2" x14ac:dyDescent="0.2">
      <c r="A5978" s="1" t="s">
        <v>796</v>
      </c>
      <c r="B5978" s="1" t="str">
        <f ca="1">IFERROR(__xludf.DUMFUNCTION("GOOGLETRANSLATE(A6152,""id"",""en"")"),"shrnya area regional area")</f>
        <v>shrnya area regional area</v>
      </c>
    </row>
    <row r="5979" spans="1:2" x14ac:dyDescent="0.2">
      <c r="A5979" s="1" t="s">
        <v>2205</v>
      </c>
      <c r="B5979" s="1" t="str">
        <f ca="1">IFERROR(__xludf.DUMFUNCTION("GOOGLETRANSLATE(A6153,""id"",""en"")"),"DIY Regional Police Press Conference  Reveals Criminal Acts of Abuse of Subsidized Fuel Transport")</f>
        <v>DIY Regional Police Press Conference  Reveals Criminal Acts of Abuse of Subsidized Fuel Transport</v>
      </c>
    </row>
    <row r="5980" spans="1:2" x14ac:dyDescent="0.2">
      <c r="A5980" s="1" t="s">
        <v>5020</v>
      </c>
      <c r="B5980" s="1" t="str">
        <f ca="1">IFERROR(__xludf.DUMFUNCTION("GOOGLETRANSLATE(A6154,""id"",""en"")"),"excited about buying bbm gas stations using  application")</f>
        <v>excited about buying bbm gas stations using  application</v>
      </c>
    </row>
    <row r="5981" spans="1:2" x14ac:dyDescent="0.2">
      <c r="A5981" s="1" t="s">
        <v>2206</v>
      </c>
      <c r="B5981" s="1" t="str">
        <f ca="1">IFERROR(__xludf.DUMFUNCTION("GOOGLETRANSLATE(A6155,""id"",""en"")")," the best work")</f>
        <v xml:space="preserve"> the best work</v>
      </c>
    </row>
    <row r="5982" spans="1:2" x14ac:dyDescent="0.2">
      <c r="A5982" s="1" t="s">
        <v>5698</v>
      </c>
      <c r="B5982" s="1" t="str">
        <f ca="1">IFERROR(__xludf.DUMFUNCTION("GOOGLETRANSLATE(A6156,""id"",""en"")"),"Reject  , SPBU Operators with Easy Alas Net")</f>
        <v>Reject  , SPBU Operators with Easy Alas Net</v>
      </c>
    </row>
    <row r="5983" spans="1:2" x14ac:dyDescent="0.2">
      <c r="A5983" s="1" t="s">
        <v>1176</v>
      </c>
      <c r="B5983" s="1" t="str">
        <f ca="1">IFERROR(__xludf.DUMFUNCTION("GOOGLETRANSLATE(A6157,""id"",""en"")"),"Already KTP number complete address hobby urgency  knows")</f>
        <v>Already KTP number complete address hobby urgency  knows</v>
      </c>
    </row>
    <row r="5984" spans="1:2" x14ac:dyDescent="0.2">
      <c r="A5984" s="1" t="s">
        <v>797</v>
      </c>
      <c r="B5984" s="1" t="str">
        <f ca="1">IFERROR(__xludf.DUMFUNCTION("GOOGLETRANSLATE(A6158,""id"",""en"")"),"Congratulations Konoha State Gathering Super tough knight")</f>
        <v>Congratulations Konoha State Gathering Super tough knight</v>
      </c>
    </row>
    <row r="5985" spans="1:2" x14ac:dyDescent="0.2">
      <c r="A5985" s="1" t="s">
        <v>5699</v>
      </c>
      <c r="B5985" s="1" t="str">
        <f ca="1">IFERROR(__xludf.DUMFUNCTION("GOOGLETRANSLATE(A6159,""id"",""en"")")," LANDERS  may be the Public Area Convenience Store Foodcourt Office")</f>
        <v xml:space="preserve"> LANDERS  may be the Public Area Convenience Store Foodcourt Office</v>
      </c>
    </row>
    <row r="5986" spans="1:2" x14ac:dyDescent="0.2">
      <c r="A5986" s="1" t="s">
        <v>2207</v>
      </c>
      <c r="B5986" s="1" t="str">
        <f ca="1">IFERROR(__xludf.DUMFUNCTION("GOOGLETRANSLATE(A6160,""id"",""en"")")," Entry of Top Strongest Oil and Gas Brand")</f>
        <v xml:space="preserve"> Entry of Top Strongest Oil and Gas Brand</v>
      </c>
    </row>
    <row r="5987" spans="1:2" x14ac:dyDescent="0.2">
      <c r="A5987" s="1" t="s">
        <v>2195</v>
      </c>
      <c r="B5987" s="1" t="str">
        <f ca="1">IFERROR(__xludf.DUMFUNCTION("GOOGLETRANSLATE(A6161,""id"",""en"")"),"July tomorrow  open the process of listing people to buy Pertalite Solar")</f>
        <v>July tomorrow  open the process of listing people to buy Pertalite Solar</v>
      </c>
    </row>
    <row r="5988" spans="1:2" x14ac:dyDescent="0.2">
      <c r="A5988" s="1" t="s">
        <v>798</v>
      </c>
      <c r="B5988" s="1" t="str">
        <f ca="1">IFERROR(__xludf.DUMFUNCTION("GOOGLETRANSLATE(A6162,""id"",""en"")"),"It's really funny to make it adjust it yet if the area is the one who bought the org gas station org")</f>
        <v>It's really funny to make it adjust it yet if the area is the one who bought the org gas station org</v>
      </c>
    </row>
    <row r="5989" spans="1:2" x14ac:dyDescent="0.2">
      <c r="A5989" s="1" t="s">
        <v>2208</v>
      </c>
      <c r="B5989" s="1" t="str">
        <f ca="1">IFERROR(__xludf.DUMFUNCTION("GOOGLETRANSLATE(A6163,""id"",""en"")")," Mini No Gaes")</f>
        <v xml:space="preserve"> Mini No Gaes</v>
      </c>
    </row>
    <row r="5990" spans="1:2" x14ac:dyDescent="0.2">
      <c r="A5990" s="1" t="s">
        <v>799</v>
      </c>
      <c r="B5990" s="1" t="str">
        <f ca="1">IFERROR(__xludf.DUMFUNCTION("GOOGLETRANSLATE(A6164,""id"",""en"")"),"Otw list here")</f>
        <v>Otw list here</v>
      </c>
    </row>
    <row r="5991" spans="1:2" x14ac:dyDescent="0.2">
      <c r="A5991" s="1" t="s">
        <v>2105</v>
      </c>
      <c r="B5991" s="1" t="str">
        <f ca="1">IFERROR(__xludf.DUMFUNCTION("GOOGLETRANSLATE(A6165,""id"",""en"")")," matches the number of STNK list buying Pertalite")</f>
        <v xml:space="preserve"> matches the number of STNK list buying Pertalite</v>
      </c>
    </row>
    <row r="5992" spans="1:2" x14ac:dyDescent="0.2">
      <c r="A5992" s="1" t="s">
        <v>5700</v>
      </c>
      <c r="B5992" s="1" t="str">
        <f ca="1">IFERROR(__xludf.DUMFUNCTION("GOOGLETRANSLATE(A6166,""id"",""en"")"),"which is a video example of the   Motor application")</f>
        <v>which is a video example of the   Motor application</v>
      </c>
    </row>
    <row r="5993" spans="1:2" x14ac:dyDescent="0.2">
      <c r="A5993" s="1" t="s">
        <v>2209</v>
      </c>
      <c r="B5993" s="1" t="str">
        <f ca="1">IFERROR(__xludf.DUMFUNCTION("GOOGLETRANSLATE(A6167,""id"",""en"")"),"Yesterday I used apps not served you know and some  gas stations that use special apps")</f>
        <v>Yesterday I used apps not served you know and some  gas stations that use special apps</v>
      </c>
    </row>
    <row r="5994" spans="1:2" x14ac:dyDescent="0.2">
      <c r="A5994" s="1" t="s">
        <v>800</v>
      </c>
      <c r="B5994" s="1" t="str">
        <f ca="1">IFERROR(__xludf.DUMFUNCTION("GOOGLETRANSLATE(A6168,""id"",""en"")"),"Gin is right, right?")</f>
        <v>Gin is right, right?</v>
      </c>
    </row>
    <row r="5995" spans="1:2" x14ac:dyDescent="0.2">
      <c r="A5995" s="1" t="s">
        <v>801</v>
      </c>
      <c r="B5995" s="1" t="str">
        <f ca="1">IFERROR(__xludf.DUMFUNCTION("GOOGLETRANSLATE(A6169,""id"",""en"")"),"Merpati piye news of the romance of the country is really true")</f>
        <v>Merpati piye news of the romance of the country is really true</v>
      </c>
    </row>
    <row r="5996" spans="1:2" x14ac:dyDescent="0.2">
      <c r="A5996" s="1" t="s">
        <v>5701</v>
      </c>
      <c r="B5996" s="1" t="str">
        <f ca="1">IFERROR(__xludf.DUMFUNCTION("GOOGLETRANSLATE(A6170,""id"",""en"")"),"Let's list the  Website Digital  application")</f>
        <v>Let's list the  Website Digital  application</v>
      </c>
    </row>
    <row r="5997" spans="1:2" x14ac:dyDescent="0.2">
      <c r="A5997" s="1" t="s">
        <v>5702</v>
      </c>
      <c r="B5997" s="1" t="str">
        <f ca="1">IFERROR(__xludf.DUMFUNCTION("GOOGLETRANSLATE(A6171,""id"",""en"")"),"Set using   showing the cellphone gas station while prohibiting the gas station. Life Hp Rack")</f>
        <v>Set using   showing the cellphone gas station while prohibiting the gas station. Life Hp Rack</v>
      </c>
    </row>
    <row r="5998" spans="1:2" x14ac:dyDescent="0.2">
      <c r="A5998" s="1" t="s">
        <v>2210</v>
      </c>
      <c r="B5998" s="1" t="str">
        <f ca="1">IFERROR(__xludf.DUMFUNCTION("GOOGLETRANSLATE(A6172,""id"",""en"")"),"which makes the app feel Indonesian cm is the island of Java , it doesn't make it queuing up, Daer")</f>
        <v>which makes the app feel Indonesian cm is the island of Java , it doesn't make it queuing up, Daer</v>
      </c>
    </row>
    <row r="5999" spans="1:2" x14ac:dyDescent="0.2">
      <c r="A5999" s="1" t="s">
        <v>2211</v>
      </c>
      <c r="B5999" s="1" t="str">
        <f ca="1">IFERROR(__xludf.DUMFUNCTION("GOOGLETRANSLATE(A6173,""id"",""en"")"),"Update the hospital, yes, the residents of Twitter who have been helping now, I have been able to reconcile the Tankyyou")</f>
        <v>Update the hospital, yes, the residents of Twitter who have been helping now, I have been able to reconcile the Tankyyou</v>
      </c>
    </row>
    <row r="6000" spans="1:2" x14ac:dyDescent="0.2">
      <c r="A6000" s="1" t="s">
        <v>802</v>
      </c>
      <c r="B6000" s="1" t="str">
        <f ca="1">IFERROR(__xludf.DUMFUNCTION("GOOGLETRANSLATE(A6174,""id"",""en"")"),"the province download the application, let's download the application")</f>
        <v>the province download the application, let's download the application</v>
      </c>
    </row>
    <row r="6001" spans="1:2" x14ac:dyDescent="0.2">
      <c r="A6001" s="1" t="s">
        <v>5703</v>
      </c>
      <c r="B6001" s="1" t="str">
        <f ca="1">IFERROR(__xludf.DUMFUNCTION("GOOGLETRANSLATE(A6175,""id"",""en"")"),"List of  Buy Pertalite Solar Subsidies Kendara Roda")</f>
        <v>List of  Buy Pertalite Solar Subsidies Kendara Roda</v>
      </c>
    </row>
    <row r="6002" spans="1:2" x14ac:dyDescent="0.2">
      <c r="A6002" s="1" t="s">
        <v>2212</v>
      </c>
      <c r="B6002" s="1" t="str">
        <f ca="1">IFERROR(__xludf.DUMFUNCTION("GOOGLETRANSLATE(A6176,""id"",""en"")"),"Alam Sutera  SPBU which is the concept of self service paying for aware of the tires")</f>
        <v>Alam Sutera  SPBU which is the concept of self service paying for aware of the tires</v>
      </c>
    </row>
    <row r="6003" spans="1:2" x14ac:dyDescent="0.2">
      <c r="A6003" s="1" t="s">
        <v>5704</v>
      </c>
      <c r="B6003" s="1" t="str">
        <f ca="1">IFERROR(__xludf.DUMFUNCTION("GOOGLETRANSLATE(A6177,""id"",""en"")"),"Buy Pertalite Using the  SPBU application forbid the MAHA MAHA TRY TRY TIR TIR DULUR")</f>
        <v>Buy Pertalite Using the  SPBU application forbid the MAHA MAHA TRY TRY TIR TIR DULUR</v>
      </c>
    </row>
    <row r="6004" spans="1:2" x14ac:dyDescent="0.2">
      <c r="A6004" s="1" t="s">
        <v>5705</v>
      </c>
      <c r="B6004" s="1" t="str">
        <f ca="1">IFERROR(__xludf.DUMFUNCTION("GOOGLETRANSLATE(A6178,""id"",""en"")"),"buy fuel subsidies must list   control control")</f>
        <v>buy fuel subsidies must list   control control</v>
      </c>
    </row>
    <row r="6005" spans="1:2" x14ac:dyDescent="0.2">
      <c r="A6005" s="1" t="s">
        <v>803</v>
      </c>
      <c r="B6005" s="1" t="str">
        <f ca="1">IFERROR(__xludf.DUMFUNCTION("GOOGLETRANSLATE(A6179,""id"",""en"")"),"Province on July")</f>
        <v>Province on July</v>
      </c>
    </row>
    <row r="6006" spans="1:2" x14ac:dyDescent="0.2">
      <c r="A6006" s="1" t="s">
        <v>544</v>
      </c>
      <c r="B6006" s="1" t="str">
        <f ca="1">IFERROR(__xludf.DUMFUNCTION("GOOGLETRANSLATE(A6180,""id"",""en"")"),"Exactly sophisticated the effort who guarded the commitment of the fuel subsidy")</f>
        <v>Exactly sophisticated the effort who guarded the commitment of the fuel subsidy</v>
      </c>
    </row>
    <row r="6007" spans="1:2" x14ac:dyDescent="0.2">
      <c r="A6007" s="1" t="s">
        <v>2213</v>
      </c>
      <c r="B6007" s="1" t="str">
        <f ca="1">IFERROR(__xludf.DUMFUNCTION("GOOGLETRANSLATE(A6181,""id"",""en"")"),"not excited but lazy looking for nknp buy  amp solar hrs dftr website read")</f>
        <v>not excited but lazy looking for nknp buy  amp solar hrs dftr website read</v>
      </c>
    </row>
    <row r="6008" spans="1:2" x14ac:dyDescent="0.2">
      <c r="A6008" s="1" t="s">
        <v>804</v>
      </c>
      <c r="B6008" s="1" t="str">
        <f ca="1">IFERROR(__xludf.DUMFUNCTION("GOOGLETRANSLATE(A6182,""id"",""en"")"),"Buy BBM Subsidies Adjust Assessory Definitely the base of education to")</f>
        <v>Buy BBM Subsidies Adjust Assessory Definitely the base of education to</v>
      </c>
    </row>
    <row r="6009" spans="1:2" x14ac:dyDescent="0.2">
      <c r="A6009" s="1" t="s">
        <v>2214</v>
      </c>
      <c r="B6009" s="1" t="str">
        <f ca="1">IFERROR(__xludf.DUMFUNCTION("GOOGLETRANSLATE(A6183,""id"",""en"")"),"strange Indonesia take care of the stupid people playing mobile alias open the  application")</f>
        <v>strange Indonesia take care of the stupid people playing mobile alias open the  application</v>
      </c>
    </row>
    <row r="6010" spans="1:2" x14ac:dyDescent="0.2">
      <c r="A6010" s="1" t="s">
        <v>805</v>
      </c>
      <c r="B6010" s="1" t="str">
        <f ca="1">IFERROR(__xludf.DUMFUNCTION("GOOGLETRANSLATE(A6184,""id"",""en"")"),"good news, listen ah")</f>
        <v>good news, listen ah</v>
      </c>
    </row>
    <row r="6011" spans="1:2" x14ac:dyDescent="0.2">
      <c r="A6011" s="1" t="s">
        <v>5706</v>
      </c>
      <c r="B6011" s="1" t="str">
        <f ca="1">IFERROR(__xludf.DUMFUNCTION("GOOGLETRANSLATE(A6185,""id"",""en"")"),"Buy Bbm Make Apk  nlah that apk sticking a forehead yes ncuman endonesa nyang whatever making")</f>
        <v>Buy Bbm Make Apk  nlah that apk sticking a forehead yes ncuman endonesa nyang whatever making</v>
      </c>
    </row>
    <row r="6012" spans="1:2" x14ac:dyDescent="0.2">
      <c r="A6012" s="1" t="s">
        <v>5707</v>
      </c>
      <c r="B6012" s="1" t="str">
        <f ca="1">IFERROR(__xludf.DUMFUNCTION("GOOGLETRANSLATE(A6186,""id"",""en"")")," , which has a lot of human resources, is like a bomb, making a single application")</f>
        <v xml:space="preserve"> , which has a lot of human resources, is like a bomb, making a single application</v>
      </c>
    </row>
    <row r="6013" spans="1:2" x14ac:dyDescent="0.2">
      <c r="A6013" s="1" t="s">
        <v>806</v>
      </c>
      <c r="B6013" s="1" t="str">
        <f ca="1">IFERROR(__xludf.DUMFUNCTION("GOOGLETRANSLATE(A6187,""id"",""en"")"),"Where do you make you set it up if you buy BBM using the application, it's not too keen to think dangerous")</f>
        <v>Where do you make you set it up if you buy BBM using the application, it's not too keen to think dangerous</v>
      </c>
    </row>
    <row r="6014" spans="1:2" x14ac:dyDescent="0.2">
      <c r="A6014" s="1" t="s">
        <v>807</v>
      </c>
      <c r="B6014" s="1" t="str">
        <f ca="1">IFERROR(__xludf.DUMFUNCTION("GOOGLETRANSLATE(A6188,""id"",""en"")"),"Political Power of Stupid Citra Zalim Sesat Indonesia Rich")</f>
        <v>Political Power of Stupid Citra Zalim Sesat Indonesia Rich</v>
      </c>
    </row>
    <row r="6015" spans="1:2" x14ac:dyDescent="0.2">
      <c r="A6015" s="1" t="s">
        <v>5708</v>
      </c>
      <c r="B6015" s="1" t="str">
        <f ca="1">IFERROR(__xludf.DUMFUNCTION("GOOGLETRANSLATE(A6189,""id"",""en"")"),"because   doesn't use a cellphone but uses a motorcycle flip -flops")</f>
        <v>because   doesn't use a cellphone but uses a motorcycle flip -flops</v>
      </c>
    </row>
    <row r="6016" spans="1:2" x14ac:dyDescent="0.2">
      <c r="A6016" s="1" t="s">
        <v>2215</v>
      </c>
      <c r="B6016" s="1" t="str">
        <f ca="1">IFERROR(__xludf.DUMFUNCTION("GOOGLETRANSLATE(A6190,""id"",""en"")"),"Komut  sii just make itruwet")</f>
        <v>Komut  sii just make itruwet</v>
      </c>
    </row>
    <row r="6017" spans="1:2" x14ac:dyDescent="0.2">
      <c r="A6017" s="1" t="s">
        <v>5709</v>
      </c>
      <c r="B6017" s="1" t="str">
        <f ca="1">IFERROR(__xludf.DUMFUNCTION("GOOGLETRANSLATE(A6191,""id"",""en"")"),"Healthy until forcibly forced the people who were stuck using the  app.")</f>
        <v>Healthy until forcibly forced the people who were stuck using the  app.</v>
      </c>
    </row>
    <row r="6018" spans="1:2" x14ac:dyDescent="0.2">
      <c r="A6018" s="1" t="s">
        <v>808</v>
      </c>
      <c r="B6018" s="1" t="str">
        <f ca="1">IFERROR(__xludf.DUMFUNCTION("GOOGLETRANSLATE(A6192,""id"",""en"")"),"Check out the stage of the consumer list of solar subsidies pertalite")</f>
        <v>Check out the stage of the consumer list of solar subsidies pertalite</v>
      </c>
    </row>
    <row r="6019" spans="1:2" x14ac:dyDescent="0.2">
      <c r="A6019" s="1" t="s">
        <v>809</v>
      </c>
      <c r="B6019" s="1" t="str">
        <f ca="1">IFERROR(__xludf.DUMFUNCTION("GOOGLETRANSLATE(A6193,""id"",""en"")"),"Hello nhallo nbgmn about")</f>
        <v>Hello nhallo nbgmn about</v>
      </c>
    </row>
    <row r="6020" spans="1:2" x14ac:dyDescent="0.2">
      <c r="A6020" s="1" t="s">
        <v>810</v>
      </c>
      <c r="B6020" s="1" t="str">
        <f ca="1">IFERROR(__xludf.DUMFUNCTION("GOOGLETRANSLATE(A6194,""id"",""en"")"),"funny gas station forbids playing cellphones but pay from the gas station cellphone")</f>
        <v>funny gas station forbids playing cellphones but pay from the gas station cellphone</v>
      </c>
    </row>
    <row r="6021" spans="1:2" x14ac:dyDescent="0.2">
      <c r="A6021" s="1" t="s">
        <v>5710</v>
      </c>
      <c r="B6021" s="1" t="str">
        <f ca="1">IFERROR(__xludf.DUMFUNCTION("GOOGLETRANSLATE(A6195,""id"",""en"")"),"Raise  's Traffic Rate Rate so that the product team does not feel failed")</f>
        <v>Raise  's Traffic Rate Rate so that the product team does not feel failed</v>
      </c>
    </row>
    <row r="6022" spans="1:2" x14ac:dyDescent="0.2">
      <c r="A6022" s="1" t="s">
        <v>2216</v>
      </c>
      <c r="B6022" s="1" t="str">
        <f ca="1">IFERROR(__xludf.DUMFUNCTION("GOOGLETRANSLATE(A6196,""id"",""en"")"),"Pen really change  gin, the contents of the mas are sincere")</f>
        <v>Pen really change  gin, the contents of the mas are sincere</v>
      </c>
    </row>
    <row r="6023" spans="1:2" x14ac:dyDescent="0.2">
      <c r="A6023" s="1" t="s">
        <v>2217</v>
      </c>
      <c r="B6023" s="1" t="str">
        <f ca="1">IFERROR(__xludf.DUMFUNCTION("GOOGLETRANSLATE(A6197,""id"",""en"")")," SAFE BBM Stock")</f>
        <v xml:space="preserve"> SAFE BBM Stock</v>
      </c>
    </row>
    <row r="6024" spans="1:2" x14ac:dyDescent="0.2">
      <c r="A6024" s="1" t="s">
        <v>2218</v>
      </c>
      <c r="B6024" s="1" t="str">
        <f ca="1">IFERROR(__xludf.DUMFUNCTION("GOOGLETRANSLATE(A6198,""id"",""en"")")," Solar Stock Level Avtur Pertamax Turbo Lpg")</f>
        <v xml:space="preserve"> Solar Stock Level Avtur Pertamax Turbo Lpg</v>
      </c>
    </row>
    <row r="6025" spans="1:2" x14ac:dyDescent="0.2">
      <c r="A6025" s="1" t="s">
        <v>811</v>
      </c>
      <c r="B6025" s="1" t="str">
        <f ca="1">IFERROR(__xludf.DUMFUNCTION("GOOGLETRANSLATE(A6199,""id"",""en"")"),"List of July")</f>
        <v>List of July</v>
      </c>
    </row>
    <row r="6026" spans="1:2" x14ac:dyDescent="0.2">
      <c r="A6026" s="1" t="s">
        <v>5711</v>
      </c>
      <c r="B6026" s="1" t="str">
        <f ca="1">IFERROR(__xludf.DUMFUNCTION("GOOGLETRANSLATE(A6200,""id"",""en"")"),"Buy Gasoline Must Install the Application Install   Install the Link Admin fee RP Top Up Sald")</f>
        <v>Buy Gasoline Must Install the Application Install   Install the Link Admin fee RP Top Up Sald</v>
      </c>
    </row>
    <row r="6027" spans="1:2" x14ac:dyDescent="0.2">
      <c r="A6027" s="1" t="s">
        <v>5712</v>
      </c>
      <c r="B6027" s="1" t="str">
        <f ca="1">IFERROR(__xludf.DUMFUNCTION("GOOGLETRANSLATE(A6201,""id"",""en"")"),"Nti Buy Pertalite Kudu  ")</f>
        <v xml:space="preserve">Nti Buy Pertalite Kudu  </v>
      </c>
    </row>
    <row r="6028" spans="1:2" x14ac:dyDescent="0.2">
      <c r="A6028" s="1" t="s">
        <v>2219</v>
      </c>
      <c r="B6028" s="1" t="str">
        <f ca="1">IFERROR(__xludf.DUMFUNCTION("GOOGLETRANSLATE(A6202,""id"",""en"")"),"Areas like to adjust from ")</f>
        <v xml:space="preserve">Areas like to adjust from </v>
      </c>
    </row>
    <row r="6029" spans="1:2" x14ac:dyDescent="0.2">
      <c r="A6029" s="1" t="s">
        <v>812</v>
      </c>
      <c r="B6029" s="1" t="str">
        <f ca="1">IFERROR(__xludf.DUMFUNCTION("GOOGLETRANSLATE(A6203,""id"",""en"")"),"Check out the best Iku list of PERTALITE subsidized solar consumers")</f>
        <v>Check out the best Iku list of PERTALITE subsidized solar consumers</v>
      </c>
    </row>
    <row r="6030" spans="1:2" x14ac:dyDescent="0.2">
      <c r="A6030" s="1" t="s">
        <v>813</v>
      </c>
      <c r="B6030" s="1" t="str">
        <f ca="1">IFERROR(__xludf.DUMFUNCTION("GOOGLETRANSLATE(A6204,""id"",""en"")"),"filling rb riber right")</f>
        <v>filling rb riber right</v>
      </c>
    </row>
    <row r="6031" spans="1:2" x14ac:dyDescent="0.2">
      <c r="A6031" s="1" t="s">
        <v>2220</v>
      </c>
      <c r="B6031" s="1" t="str">
        <f ca="1">IFERROR(__xludf.DUMFUNCTION("GOOGLETRANSLATE(A6205,""id"",""en"")"),"Dumai stopped by the  complex already")</f>
        <v>Dumai stopped by the  complex already</v>
      </c>
    </row>
    <row r="6032" spans="1:2" x14ac:dyDescent="0.2">
      <c r="A6032" s="1" t="s">
        <v>2221</v>
      </c>
      <c r="B6032" s="1" t="str">
        <f ca="1">IFERROR(__xludf.DUMFUNCTION("GOOGLETRANSLATE(A6206,""id"",""en"")"),"PJS Corporate Secretary PT  Patra Irto Ginting Region Choosing  Pemki")</f>
        <v>PJS Corporate Secretary PT  Patra Irto Ginting Region Choosing  Pemki</v>
      </c>
    </row>
    <row r="6033" spans="1:2" x14ac:dyDescent="0.2">
      <c r="A6033" s="1" t="s">
        <v>5713</v>
      </c>
      <c r="B6033" s="1" t="str">
        <f ca="1">IFERROR(__xludf.DUMFUNCTION("GOOGLETRANSLATE(A6207,""id"",""en"")"),"Buy Pertalite Using   Application Trial for BBM Subsidies")</f>
        <v>Buy Pertalite Using   Application Trial for BBM Subsidies</v>
      </c>
    </row>
    <row r="6034" spans="1:2" x14ac:dyDescent="0.2">
      <c r="A6034" s="1" t="s">
        <v>814</v>
      </c>
      <c r="B6034" s="1" t="str">
        <f ca="1">IFERROR(__xludf.DUMFUNCTION("GOOGLETRANSLATE(A6208,""id"",""en"")"),"advanced that Indonesians buy goods need the main need to use cooking oil applications using")</f>
        <v>advanced that Indonesians buy goods need the main need to use cooking oil applications using</v>
      </c>
    </row>
    <row r="6035" spans="1:2" x14ac:dyDescent="0.2">
      <c r="A6035" s="1" t="s">
        <v>2222</v>
      </c>
      <c r="B6035" s="1" t="str">
        <f ca="1">IFERROR(__xludf.DUMFUNCTION("GOOGLETRANSLATE(A6209,""id"",""en"")")," also still goes down, bang respectful of the task of paying only")</f>
        <v xml:space="preserve"> also still goes down, bang respectful of the task of paying only</v>
      </c>
    </row>
    <row r="6036" spans="1:2" x14ac:dyDescent="0.2">
      <c r="A6036" s="1" t="s">
        <v>5714</v>
      </c>
      <c r="B6036" s="1" t="str">
        <f ca="1">IFERROR(__xludf.DUMFUNCTION("GOOGLETRANSLATE(A6210,""id"",""en"")"),"List of  Buy Pertalite July   Lampungpost")</f>
        <v>List of  Buy Pertalite July   Lampungpost</v>
      </c>
    </row>
    <row r="6037" spans="1:2" x14ac:dyDescent="0.2">
      <c r="A6037" s="1" t="s">
        <v>815</v>
      </c>
      <c r="B6037" s="1" t="str">
        <f ca="1">IFERROR(__xludf.DUMFUNCTION("GOOGLETRANSLATE(A6211,""id"",""en"")"),"Find solutions")</f>
        <v>Find solutions</v>
      </c>
    </row>
    <row r="6038" spans="1:2" x14ac:dyDescent="0.2">
      <c r="A6038" s="1" t="s">
        <v>816</v>
      </c>
      <c r="B6038" s="1" t="str">
        <f ca="1">IFERROR(__xludf.DUMFUNCTION("GOOGLETRANSLATE(A6212,""id"",""en"")"),"I don't know, but it's not a ceode or min")</f>
        <v>I don't know, but it's not a ceode or min</v>
      </c>
    </row>
    <row r="6039" spans="1:2" x14ac:dyDescent="0.2">
      <c r="A6039" s="1" t="s">
        <v>2223</v>
      </c>
      <c r="B6039" s="1" t="str">
        <f ca="1">IFERROR(__xludf.DUMFUNCTION("GOOGLETRANSLATE(A6213,""id"",""en"")"),"make the sticker how the facilities are not ")</f>
        <v xml:space="preserve">make the sticker how the facilities are not </v>
      </c>
    </row>
    <row r="6040" spans="1:2" x14ac:dyDescent="0.2">
      <c r="A6040" s="1" t="s">
        <v>817</v>
      </c>
      <c r="B6040" s="1" t="str">
        <f ca="1">IFERROR(__xludf.DUMFUNCTION("GOOGLETRANSLATE(A6214,""id"",""en"")"),"Wow, so  gas station oprator is not dead please set")</f>
        <v>Wow, so  gas station oprator is not dead please set</v>
      </c>
    </row>
    <row r="6041" spans="1:2" x14ac:dyDescent="0.2">
      <c r="A6041" s="1" t="s">
        <v>818</v>
      </c>
      <c r="B6041" s="1" t="str">
        <f ca="1">IFERROR(__xludf.DUMFUNCTION("GOOGLETRANSLATE(A6215,""id"",""en"")"),"chaotic country")</f>
        <v>chaotic country</v>
      </c>
    </row>
    <row r="6042" spans="1:2" x14ac:dyDescent="0.2">
      <c r="A6042" s="1" t="s">
        <v>5715</v>
      </c>
      <c r="B6042" s="1" t="str">
        <f ca="1">IFERROR(__xludf.DUMFUNCTION("GOOGLETRANSLATE(A6216,""id"",""en"")"),"already answer  pertamini eh   bang if mledug")</f>
        <v>already answer  pertamini eh   bang if mledug</v>
      </c>
    </row>
    <row r="6043" spans="1:2" x14ac:dyDescent="0.2">
      <c r="A6043" s="1" t="s">
        <v>5716</v>
      </c>
      <c r="B6043" s="1" t="str">
        <f ca="1">IFERROR(__xludf.DUMFUNCTION("GOOGLETRANSLATE(A6217,""id"",""en"")"),"Therapy Province Buy  Solar Via ")</f>
        <v xml:space="preserve">Therapy Province Buy  Solar Via </v>
      </c>
    </row>
    <row r="6044" spans="1:2" x14ac:dyDescent="0.2">
      <c r="A6044" s="1" t="s">
        <v>1002</v>
      </c>
      <c r="B6044" s="1" t="str">
        <f ca="1">IFERROR(__xludf.DUMFUNCTION("GOOGLETRANSLATE(A6218,""id"",""en"")"),"Price List of Pertalite Pertamax  Indonesia SPBU")</f>
        <v>Price List of Pertalite Pertamax  Indonesia SPBU</v>
      </c>
    </row>
    <row r="6045" spans="1:2" x14ac:dyDescent="0.2">
      <c r="A6045" s="1" t="s">
        <v>1002</v>
      </c>
      <c r="B6045" s="1" t="str">
        <f ca="1">IFERROR(__xludf.DUMFUNCTION("GOOGLETRANSLATE(A6219,""id"",""en"")"),"Price List of Pertalite Pertamax  Indonesia SPBU")</f>
        <v>Price List of Pertalite Pertamax  Indonesia SPBU</v>
      </c>
    </row>
    <row r="6046" spans="1:2" x14ac:dyDescent="0.2">
      <c r="A6046" s="1" t="s">
        <v>819</v>
      </c>
      <c r="B6046" s="1" t="str">
        <f ca="1">IFERROR(__xludf.DUMFUNCTION("GOOGLETRANSLATE(A6220,""id"",""en"")"),"at least using sandals, thank God, if the shoes are hit by a ticket, it can't be like that, bombing")</f>
        <v>at least using sandals, thank God, if the shoes are hit by a ticket, it can't be like that, bombing</v>
      </c>
    </row>
    <row r="6047" spans="1:2" x14ac:dyDescent="0.2">
      <c r="A6047" s="1" t="s">
        <v>5717</v>
      </c>
      <c r="B6047" s="1" t="str">
        <f ca="1">IFERROR(__xludf.DUMFUNCTION("GOOGLETRANSLATE(A6221,""id"",""en"")"),"Favors Pertalite Solar Mandatory List of  Juli Kabarotcom  Pertalite")</f>
        <v>Favors Pertalite Solar Mandatory List of  Juli Kabarotcom  Pertalite</v>
      </c>
    </row>
    <row r="6048" spans="1:2" x14ac:dyDescent="0.2">
      <c r="A6048" s="1" t="s">
        <v>2224</v>
      </c>
      <c r="B6048" s="1" t="str">
        <f ca="1">IFERROR(__xludf.DUMFUNCTION("GOOGLETRANSLATE(A6222,""id"",""en"")")," Employees say gasoline is finished saying sorry, miss the application")</f>
        <v xml:space="preserve"> Employees say gasoline is finished saying sorry, miss the application</v>
      </c>
    </row>
    <row r="6049" spans="1:2" x14ac:dyDescent="0.2">
      <c r="A6049" s="1" t="s">
        <v>820</v>
      </c>
      <c r="B6049" s="1" t="str">
        <f ca="1">IFERROR(__xludf.DUMFUNCTION("GOOGLETRANSLATE(A6223,""id"",""en"")"),"It's not like that because after I read the website that consumers")</f>
        <v>It's not like that because after I read the website that consumers</v>
      </c>
    </row>
    <row r="6050" spans="1:2" x14ac:dyDescent="0.2">
      <c r="A6050" s="1" t="s">
        <v>821</v>
      </c>
      <c r="B6050" s="1" t="str">
        <f ca="1">IFERROR(__xludf.DUMFUNCTION("GOOGLETRANSLATE(A6224,""id"",""en"")"),"advanced that Indonesians buy goods need the main need to use the Pa cooking oil application")</f>
        <v>advanced that Indonesians buy goods need the main need to use the Pa cooking oil application</v>
      </c>
    </row>
    <row r="6051" spans="1:2" x14ac:dyDescent="0.2">
      <c r="A6051" s="1" t="s">
        <v>2225</v>
      </c>
      <c r="B6051" s="1" t="str">
        <f ca="1">IFERROR(__xludf.DUMFUNCTION("GOOGLETRANSLATE(A6225,""id"",""en"")")," Open Hp SPBU")</f>
        <v xml:space="preserve"> Open Hp SPBU</v>
      </c>
    </row>
    <row r="6052" spans="1:2" x14ac:dyDescent="0.2">
      <c r="A6052" s="1" t="s">
        <v>822</v>
      </c>
      <c r="B6052" s="1" t="str">
        <f ca="1">IFERROR(__xludf.DUMFUNCTION("GOOGLETRANSLATE(A6226,""id"",""en"")"),"Want to weigh the trial buying gasoline list of provinces")</f>
        <v>Want to weigh the trial buying gasoline list of provinces</v>
      </c>
    </row>
    <row r="6053" spans="1:2" x14ac:dyDescent="0.2">
      <c r="A6053" s="1" t="s">
        <v>5718</v>
      </c>
      <c r="B6053" s="1" t="str">
        <f ca="1">IFERROR(__xludf.DUMFUNCTION("GOOGLETRANSLATE(A6227,""id"",""en"")"),"Province Test Location Buy Pertalite Solar Via   Application")</f>
        <v>Province Test Location Buy Pertalite Solar Via   Application</v>
      </c>
    </row>
    <row r="6054" spans="1:2" x14ac:dyDescent="0.2">
      <c r="A6054" s="1" t="s">
        <v>2226</v>
      </c>
      <c r="B6054" s="1" t="str">
        <f ca="1">IFERROR(__xludf.DUMFUNCTION("GOOGLETRANSLATE(A6228,""id"",""en"")"),"PT  Persero Set Buying Types of Fuel Fuel Specifically for JBKP Perta")</f>
        <v>PT  Persero Set Buying Types of Fuel Fuel Specifically for JBKP Perta</v>
      </c>
    </row>
    <row r="6055" spans="1:2" x14ac:dyDescent="0.2">
      <c r="A6055" s="1" t="s">
        <v>823</v>
      </c>
      <c r="B6055" s="1" t="str">
        <f ca="1">IFERROR(__xludf.DUMFUNCTION("GOOGLETRANSLATE(A6229,""id"",""en"")"),"SAMSAT Register for PE API")</f>
        <v>SAMSAT Register for PE API</v>
      </c>
    </row>
    <row r="6056" spans="1:2" x14ac:dyDescent="0.2">
      <c r="A6056" s="1" t="s">
        <v>824</v>
      </c>
      <c r="B6056" s="1" t="str">
        <f ca="1">IFERROR(__xludf.DUMFUNCTION("GOOGLETRANSLATE(A6230,""id"",""en"")"),"nuwun sewu amp dangers on the hp gas station klw burn games bny")</f>
        <v>nuwun sewu amp dangers on the hp gas station klw burn games bny</v>
      </c>
    </row>
    <row r="6057" spans="1:2" x14ac:dyDescent="0.2">
      <c r="A6057" s="1" t="s">
        <v>5719</v>
      </c>
      <c r="B6057" s="1" t="str">
        <f ca="1">IFERROR(__xludf.DUMFUNCTION("GOOGLETRANSLATE(A6231,""id"",""en"")"),"Forbidding Main Handpone with Bengsin Suruh Download   Sibangsattt")</f>
        <v>Forbidding Main Handpone with Bengsin Suruh Download   Sibangsattt</v>
      </c>
    </row>
    <row r="6058" spans="1:2" x14ac:dyDescent="0.2">
      <c r="A6058" s="1" t="s">
        <v>4982</v>
      </c>
      <c r="B6058" s="1" t="str">
        <f ca="1">IFERROR(__xludf.DUMFUNCTION("GOOGLETRANSLATE(A6232,""id"",""en"")"),"waiting for the news of the explosive gas station to open the   application")</f>
        <v>waiting for the news of the explosive gas station to open the   application</v>
      </c>
    </row>
    <row r="6059" spans="1:2" x14ac:dyDescent="0.2">
      <c r="A6059" s="1" t="s">
        <v>5720</v>
      </c>
      <c r="B6059" s="1" t="str">
        <f ca="1">IFERROR(__xludf.DUMFUNCTION("GOOGLETRANSLATE(A6233,""id"",""en"")"),"No, the fee for the cost up to the balance of the balance of the link, is  perta")</f>
        <v>No, the fee for the cost up to the balance of the balance of the link, is  perta</v>
      </c>
    </row>
    <row r="6060" spans="1:2" x14ac:dyDescent="0.2">
      <c r="A6060" s="1" t="s">
        <v>4990</v>
      </c>
      <c r="B6060" s="1" t="str">
        <f ca="1">IFERROR(__xludf.DUMFUNCTION("GOOGLETRANSLATE(A6234,""id"",""en"")"),"No regularly fill gasoline using  ")</f>
        <v xml:space="preserve">No regularly fill gasoline using  </v>
      </c>
    </row>
    <row r="6061" spans="1:2" x14ac:dyDescent="0.2">
      <c r="A6061" s="1" t="s">
        <v>5721</v>
      </c>
      <c r="B6061" s="1" t="str">
        <f ca="1">IFERROR(__xludf.DUMFUNCTION("GOOGLETRANSLATE(A6235,""id"",""en"")"),"Monitor using   Entering Selling MA Audit")</f>
        <v>Monitor using   Entering Selling MA Audit</v>
      </c>
    </row>
    <row r="6062" spans="1:2" x14ac:dyDescent="0.2">
      <c r="A6062" s="1" t="s">
        <v>825</v>
      </c>
      <c r="B6062" s="1" t="str">
        <f ca="1">IFERROR(__xludf.DUMFUNCTION("GOOGLETRANSLATE(A6236,""id"",""en"")"),"List of Kendara Ready to APP APP JULI ERROR KATANY")</f>
        <v>List of Kendara Ready to APP APP JULI ERROR KATANY</v>
      </c>
    </row>
    <row r="6063" spans="1:2" x14ac:dyDescent="0.2">
      <c r="A6063" s="1" t="s">
        <v>826</v>
      </c>
      <c r="B6063" s="1" t="str">
        <f ca="1">IFERROR(__xludf.DUMFUNCTION("GOOGLETRANSLATE(A6237,""id"",""en"")"),"Yes, Pay cashless business is usually seagrass, the contents of the balance of the admin fee.")</f>
        <v>Yes, Pay cashless business is usually seagrass, the contents of the balance of the admin fee.</v>
      </c>
    </row>
    <row r="6064" spans="1:2" x14ac:dyDescent="0.2">
      <c r="A6064" s="1" t="s">
        <v>5722</v>
      </c>
      <c r="B6064" s="1" t="str">
        <f ca="1">IFERROR(__xludf.DUMFUNCTION("GOOGLETRANSLATE(A6238,""id"",""en"")")," Test Trial Buy Fuel Fuel Fuel Fuel Type Solar Using   Nhttps")</f>
        <v xml:space="preserve"> Test Trial Buy Fuel Fuel Fuel Fuel Type Solar Using   Nhttps</v>
      </c>
    </row>
    <row r="6065" spans="1:2" x14ac:dyDescent="0.2">
      <c r="A6065" s="1" t="s">
        <v>827</v>
      </c>
      <c r="B6065" s="1" t="str">
        <f ca="1">IFERROR(__xludf.DUMFUNCTION("GOOGLETRANSLATE(A6239,""id"",""en"")"),"people who do not buy pertalite due to the use")</f>
        <v>people who do not buy pertalite due to the use</v>
      </c>
    </row>
    <row r="6066" spans="1:2" x14ac:dyDescent="0.2">
      <c r="A6066" s="1" t="s">
        <v>2189</v>
      </c>
      <c r="B6066" s="1" t="str">
        <f ca="1">IFERROR(__xludf.DUMFUNCTION("GOOGLETRANSLATE(A6240,""id"",""en"")"),"SATIRE  brakes Luckily the Ahok Politics Taek Identity")</f>
        <v>SATIRE  brakes Luckily the Ahok Politics Taek Identity</v>
      </c>
    </row>
    <row r="6067" spans="1:2" x14ac:dyDescent="0.2">
      <c r="A6067" s="1" t="s">
        <v>2227</v>
      </c>
      <c r="B6067" s="1" t="str">
        <f ca="1">IFERROR(__xludf.DUMFUNCTION("GOOGLETRANSLATE(A6241,""id"",""en"")"),"Director of  Call the trial of the City of Sebar Provin Regency")</f>
        <v>Director of  Call the trial of the City of Sebar Provin Regency</v>
      </c>
    </row>
    <row r="6068" spans="1:2" x14ac:dyDescent="0.2">
      <c r="A6068" s="1" t="s">
        <v>828</v>
      </c>
      <c r="B6068" s="1" t="str">
        <f ca="1">IFERROR(__xludf.DUMFUNCTION("GOOGLETRANSLATE(A6242,""id"",""en"")"),"also PLN SMW BUMN Negeri")</f>
        <v>also PLN SMW BUMN Negeri</v>
      </c>
    </row>
    <row r="6069" spans="1:2" x14ac:dyDescent="0.2">
      <c r="A6069" s="1" t="s">
        <v>2228</v>
      </c>
      <c r="B6069" s="1" t="str">
        <f ca="1">IFERROR(__xludf.DUMFUNCTION("GOOGLETRANSLATE(A6243,""id"",""en"")"),"This is the case from taking care of the cable car or  using the app.")</f>
        <v>This is the case from taking care of the cable car or  using the app.</v>
      </c>
    </row>
    <row r="6070" spans="1:2" x14ac:dyDescent="0.2">
      <c r="A6070" s="1" t="s">
        <v>829</v>
      </c>
      <c r="B6070" s="1" t="str">
        <f ca="1">IFERROR(__xludf.DUMFUNCTION("GOOGLETRANSLATE(A6244,""id"",""en"")"),"Formality")</f>
        <v>Formality</v>
      </c>
    </row>
    <row r="6071" spans="1:2" x14ac:dyDescent="0.2">
      <c r="A6071" s="1" t="s">
        <v>2229</v>
      </c>
      <c r="B6071" s="1" t="str">
        <f ca="1">IFERROR(__xludf.DUMFUNCTION("GOOGLETRANSLATE(A6245,""id"",""en"")"),"better  private so that it doesn't make the political materials that can't be shahwatny")</f>
        <v>better  private so that it doesn't make the political materials that can't be shahwatny</v>
      </c>
    </row>
    <row r="6072" spans="1:2" x14ac:dyDescent="0.2">
      <c r="A6072" s="1" t="s">
        <v>830</v>
      </c>
      <c r="B6072" s="1" t="str">
        <f ca="1">IFERROR(__xludf.DUMFUNCTION("GOOGLETRANSLATE(A6246,""id"",""en"")"),"complicated system selling luxury car classification")</f>
        <v>complicated system selling luxury car classification</v>
      </c>
    </row>
    <row r="6073" spans="1:2" x14ac:dyDescent="0.2">
      <c r="A6073" s="1" t="s">
        <v>2230</v>
      </c>
      <c r="B6073" s="1" t="str">
        <f ca="1">IFERROR(__xludf.DUMFUNCTION("GOOGLETRANSLATE(A6247,""id"",""en"")"),"liter of crude oil spilled water cilacap  compensation")</f>
        <v>liter of crude oil spilled water cilacap  compensation</v>
      </c>
    </row>
    <row r="6074" spans="1:2" x14ac:dyDescent="0.2">
      <c r="A6074" s="1" t="s">
        <v>2820</v>
      </c>
      <c r="B6074" s="1" t="str">
        <f ca="1">IFERROR(__xludf.DUMFUNCTION("GOOGLETRANSLATE(A6248,""id"",""en"")"),"July  Open a List of Buying Pertalite ")</f>
        <v xml:space="preserve">July  Open a List of Buying Pertalite </v>
      </c>
    </row>
    <row r="6075" spans="1:2" x14ac:dyDescent="0.2">
      <c r="A6075" s="1" t="s">
        <v>1053</v>
      </c>
      <c r="B6075" s="1" t="str">
        <f ca="1">IFERROR(__xludf.DUMFUNCTION("GOOGLETRANSLATE(A6249,""id"",""en"")"),"What is 's SPBU Congregation")</f>
        <v>What is 's SPBU Congregation</v>
      </c>
    </row>
    <row r="6076" spans="1:2" x14ac:dyDescent="0.2">
      <c r="A6076" s="1" t="s">
        <v>831</v>
      </c>
      <c r="B6076" s="1" t="str">
        <f ca="1">IFERROR(__xludf.DUMFUNCTION("GOOGLETRANSLATE(A6250,""id"",""en"")"),"Victims Burns casualties Playing Hp SPBU which is responsible for Java")</f>
        <v>Victims Burns casualties Playing Hp SPBU which is responsible for Java</v>
      </c>
    </row>
    <row r="6077" spans="1:2" x14ac:dyDescent="0.2">
      <c r="A6077" s="1" t="s">
        <v>5723</v>
      </c>
      <c r="B6077" s="1" t="str">
        <f ca="1">IFERROR(__xludf.DUMFUNCTION("GOOGLETRANSLATE(A6251,""id"",""en"")")," Bright Gas Pertamax rjbt ")</f>
        <v xml:space="preserve"> Bright Gas Pertamax rjbt </v>
      </c>
    </row>
    <row r="6078" spans="1:2" x14ac:dyDescent="0.2">
      <c r="A6078" s="1" t="s">
        <v>5724</v>
      </c>
      <c r="B6078" s="1" t="str">
        <f ca="1">IFERROR(__xludf.DUMFUNCTION("GOOGLETRANSLATE(A6252,""id"",""en"")"),"buy oil hrs apk cares of protection buying pertalite pk apk   per complicated")</f>
        <v>buy oil hrs apk cares of protection buying pertalite pk apk   per complicated</v>
      </c>
    </row>
    <row r="6079" spans="1:2" x14ac:dyDescent="0.2">
      <c r="A6079" s="1" t="s">
        <v>832</v>
      </c>
      <c r="B6079" s="1" t="str">
        <f ca="1">IFERROR(__xludf.DUMFUNCTION("GOOGLETRANSLATE(A6253,""id"",""en"")"),"the base also supports the regulation of the press byk luxury cars to buy fuel subsidies ga sasa")</f>
        <v>the base also supports the regulation of the press byk luxury cars to buy fuel subsidies ga sasa</v>
      </c>
    </row>
    <row r="6080" spans="1:2" x14ac:dyDescent="0.2">
      <c r="A6080" s="1" t="s">
        <v>2231</v>
      </c>
      <c r="B6080" s="1" t="str">
        <f ca="1">IFERROR(__xludf.DUMFUNCTION("GOOGLETRANSLATE(A6254,""id"",""en"")")," gives a solution not to make an application if it's better to clean the toilet to make it free")</f>
        <v xml:space="preserve"> gives a solution not to make an application if it's better to clean the toilet to make it free</v>
      </c>
    </row>
    <row r="6081" spans="1:2" x14ac:dyDescent="0.2">
      <c r="A6081" s="1" t="s">
        <v>2232</v>
      </c>
      <c r="B6081" s="1" t="str">
        <f ca="1">IFERROR(__xludf.DUMFUNCTION("GOOGLETRANSLATE(A6255,""id"",""en"")"),"July Kendara Buy Solar Subsidies  SPBU Mandatory Registration")</f>
        <v>July Kendara Buy Solar Subsidies  SPBU Mandatory Registration</v>
      </c>
    </row>
    <row r="6082" spans="1:2" x14ac:dyDescent="0.2">
      <c r="A6082" s="1" t="s">
        <v>2233</v>
      </c>
      <c r="B6082" s="1" t="str">
        <f ca="1">IFERROR(__xludf.DUMFUNCTION("GOOGLETRANSLATE(A6256,""id"",""en"")"),"The loose application is important for 's business trying that")</f>
        <v>The loose application is important for 's business trying that</v>
      </c>
    </row>
    <row r="6083" spans="1:2" x14ac:dyDescent="0.2">
      <c r="A6083" s="1" t="s">
        <v>2234</v>
      </c>
      <c r="B6083" s="1" t="str">
        <f ca="1">IFERROR(__xludf.DUMFUNCTION("GOOGLETRANSLATE(A6257,""id"",""en"")")," added the supply of gas stations more smoothly quota")</f>
        <v xml:space="preserve"> added the supply of gas stations more smoothly quota</v>
      </c>
    </row>
    <row r="6084" spans="1:2" x14ac:dyDescent="0.2">
      <c r="A6084" s="1" t="s">
        <v>2235</v>
      </c>
      <c r="B6084" s="1" t="str">
        <f ca="1">IFERROR(__xludf.DUMFUNCTION("GOOGLETRANSLATE(A6258,""id"",""en"")"),"Ken  boycott Ohya Monopoly")</f>
        <v>Ken  boycott Ohya Monopoly</v>
      </c>
    </row>
    <row r="6085" spans="1:2" x14ac:dyDescent="0.2">
      <c r="A6085" s="1" t="s">
        <v>833</v>
      </c>
      <c r="B6085" s="1" t="str">
        <f ca="1">IFERROR(__xludf.DUMFUNCTION("GOOGLETRANSLATE(A6259,""id"",""en"")"),"gas station hook paper printout apk type voucher gun")</f>
        <v>gas station hook paper printout apk type voucher gun</v>
      </c>
    </row>
    <row r="6086" spans="1:2" x14ac:dyDescent="0.2">
      <c r="A6086" s="1" t="s">
        <v>5725</v>
      </c>
      <c r="B6086" s="1" t="str">
        <f ca="1">IFERROR(__xludf.DUMFUNCTION("GOOGLETRANSLATE(A6260,""id"",""en"")"),"PT  Persero appealed to the public to buy BBM Type of Pertalite Application ")</f>
        <v xml:space="preserve">PT  Persero appealed to the public to buy BBM Type of Pertalite Application </v>
      </c>
    </row>
    <row r="6087" spans="1:2" x14ac:dyDescent="0.2">
      <c r="A6087" s="1" t="s">
        <v>5726</v>
      </c>
      <c r="B6087" s="1" t="str">
        <f ca="1">IFERROR(__xludf.DUMFUNCTION("GOOGLETRANSLATE(A6261,""id"",""en"")"),"Noh, the gas station isn't  , it's really a briefing, fortunately, I will bring your cash money")</f>
        <v>Noh, the gas station isn't  , it's really a briefing, fortunately, I will bring your cash money</v>
      </c>
    </row>
    <row r="6088" spans="1:2" x14ac:dyDescent="0.2">
      <c r="A6088" s="1" t="s">
        <v>5727</v>
      </c>
      <c r="B6088" s="1" t="str">
        <f ca="1">IFERROR(__xludf.DUMFUNCTION("GOOGLETRANSLATE(A6262,""id"",""en"")"),"Bossman   Application Using Advanced Technology Men")</f>
        <v>Bossman   Application Using Advanced Technology Men</v>
      </c>
    </row>
    <row r="6089" spans="1:2" x14ac:dyDescent="0.2">
      <c r="A6089" s="1" t="s">
        <v>834</v>
      </c>
      <c r="B6089" s="1" t="str">
        <f ca="1">IFERROR(__xludf.DUMFUNCTION("GOOGLETRANSLATE(A6263,""id"",""en"")"),"Playing SPBU HAPE Forbidding Neh Buy Pertalite Using Hape Application")</f>
        <v>Playing SPBU HAPE Forbidding Neh Buy Pertalite Using Hape Application</v>
      </c>
    </row>
    <row r="6090" spans="1:2" x14ac:dyDescent="0.2">
      <c r="A6090" s="1" t="s">
        <v>2236</v>
      </c>
      <c r="B6090" s="1" t="str">
        <f ca="1">IFERROR(__xludf.DUMFUNCTION("GOOGLETRANSLATE(A6264,""id"",""en"")"),"playing the cellphone smoking  gas station")</f>
        <v>playing the cellphone smoking  gas station</v>
      </c>
    </row>
    <row r="6091" spans="1:2" x14ac:dyDescent="0.2">
      <c r="A6091" s="1" t="s">
        <v>4460</v>
      </c>
      <c r="B6091" s="1" t="str">
        <f ca="1">IFERROR(__xludf.DUMFUNCTION("GOOGLETRANSLATE(A6265,""id"",""en"")"),"JULI BUY BBM Pertalite Solar owned")</f>
        <v>JULI BUY BBM Pertalite Solar owned</v>
      </c>
    </row>
    <row r="6092" spans="1:2" x14ac:dyDescent="0.2">
      <c r="A6092" s="1" t="s">
        <v>2237</v>
      </c>
      <c r="B6092" s="1" t="str">
        <f ca="1">IFERROR(__xludf.DUMFUNCTION("GOOGLETRANSLATE(A6266,""id"",""en"")"),"using qris, how come  pays using QRCode so that it doesn't feel fast")</f>
        <v>using qris, how come  pays using QRCode so that it doesn't feel fast</v>
      </c>
    </row>
    <row r="6093" spans="1:2" x14ac:dyDescent="0.2">
      <c r="A6093" s="1" t="s">
        <v>5728</v>
      </c>
      <c r="B6093" s="1" t="str">
        <f ca="1">IFERROR(__xludf.DUMFUNCTION("GOOGLETRANSLATE(A6267,""id"",""en"")"),"the public is obliged to list the  application to buy Pertalite Solar July")</f>
        <v>the public is obliged to list the  application to buy Pertalite Solar July</v>
      </c>
    </row>
    <row r="6094" spans="1:2" x14ac:dyDescent="0.2">
      <c r="A6094" s="1" t="s">
        <v>2238</v>
      </c>
      <c r="B6094" s="1" t="str">
        <f ca="1">IFERROR(__xludf.DUMFUNCTION("GOOGLETRANSLATE(A6268,""id"",""en"")"),"Prank  prohibits the cellphone pom nhoax dahal the gas station is also playing the cellphone")</f>
        <v>Prank  prohibits the cellphone pom nhoax dahal the gas station is also playing the cellphone</v>
      </c>
    </row>
    <row r="6095" spans="1:2" x14ac:dyDescent="0.2">
      <c r="A6095" s="1" t="s">
        <v>835</v>
      </c>
      <c r="B6095" s="1" t="str">
        <f ca="1">IFERROR(__xludf.DUMFUNCTION("GOOGLETRANSLATE(A6269,""id"",""en"")"),"gas stations must be ready for free wifi")</f>
        <v>gas stations must be ready for free wifi</v>
      </c>
    </row>
    <row r="6096" spans="1:2" x14ac:dyDescent="0.2">
      <c r="A6096" s="1" t="s">
        <v>2239</v>
      </c>
      <c r="B6096" s="1" t="str">
        <f ca="1">IFERROR(__xludf.DUMFUNCTION("GOOGLETRANSLATE(A6270,""id"",""en"")"),"Those who insist on  stupid use the cellphone gas station")</f>
        <v>Those who insist on  stupid use the cellphone gas station</v>
      </c>
    </row>
    <row r="6097" spans="1:2" x14ac:dyDescent="0.2">
      <c r="A6097" s="1" t="s">
        <v>2240</v>
      </c>
      <c r="B6097" s="1" t="str">
        <f ca="1">IFERROR(__xludf.DUMFUNCTION("GOOGLETRANSLATE(A6271,""id"",""en"")"),"worried that  Corporate Secretary Patra Niaga Irto Ginting Guna Cell Phone")</f>
        <v>worried that  Corporate Secretary Patra Niaga Irto Ginting Guna Cell Phone</v>
      </c>
    </row>
    <row r="6098" spans="1:2" x14ac:dyDescent="0.2">
      <c r="A6098" s="1" t="s">
        <v>836</v>
      </c>
      <c r="B6098" s="1" t="str">
        <f ca="1">IFERROR(__xludf.DUMFUNCTION("GOOGLETRANSLATE(A6272,""id"",""en"")"),"gas station employees please shout ears selling applications")</f>
        <v>gas station employees please shout ears selling applications</v>
      </c>
    </row>
    <row r="6099" spans="1:2" x14ac:dyDescent="0.2">
      <c r="A6099" s="1" t="s">
        <v>2241</v>
      </c>
      <c r="B6099" s="1" t="str">
        <f ca="1">IFERROR(__xludf.DUMFUNCTION("GOOGLETRANSLATE(A6273,""id"",""en"")"),"Love  Lot's shares")</f>
        <v>Love  Lot's shares</v>
      </c>
    </row>
    <row r="6100" spans="1:2" x14ac:dyDescent="0.2">
      <c r="A6100" s="1" t="s">
        <v>2242</v>
      </c>
      <c r="B6100" s="1" t="str">
        <f ca="1">IFERROR(__xludf.DUMFUNCTION("GOOGLETRANSLATE(A6274,""id"",""en"")")," Find Money Add Applications")</f>
        <v xml:space="preserve"> Find Money Add Applications</v>
      </c>
    </row>
    <row r="6101" spans="1:2" x14ac:dyDescent="0.2">
      <c r="A6101" s="1" t="s">
        <v>5729</v>
      </c>
      <c r="B6101" s="1" t="str">
        <f ca="1">IFERROR(__xludf.DUMFUNCTION("GOOGLETRANSLATE(A6275,""id"",""en"")"),"Hola Indonesian Community Forward Prosperous Nada Riweuh Riweuh sm The  Application NMending Check Facts")</f>
        <v>Hola Indonesian Community Forward Prosperous Nada Riweuh Riweuh sm The  Application NMending Check Facts</v>
      </c>
    </row>
    <row r="6102" spans="1:2" x14ac:dyDescent="0.2">
      <c r="A6102" s="1" t="s">
        <v>837</v>
      </c>
      <c r="B6102" s="1" t="str">
        <f ca="1">IFERROR(__xludf.DUMFUNCTION("GOOGLETRANSLATE(A6276,""id"",""en"")"),"The signal quota is good, the cellphone is sorry, yeah, delete the application")</f>
        <v>The signal quota is good, the cellphone is sorry, yeah, delete the application</v>
      </c>
    </row>
    <row r="6103" spans="1:2" x14ac:dyDescent="0.2">
      <c r="A6103" s="1" t="s">
        <v>838</v>
      </c>
      <c r="B6103" s="1" t="str">
        <f ca="1">IFERROR(__xludf.DUMFUNCTION("GOOGLETRANSLATE(A6277,""id"",""en"")"),"yes you know, just look at the photo of nmax scoopy out")</f>
        <v>yes you know, just look at the photo of nmax scoopy out</v>
      </c>
    </row>
    <row r="6104" spans="1:2" x14ac:dyDescent="0.2">
      <c r="A6104" s="1" t="s">
        <v>5730</v>
      </c>
      <c r="B6104" s="1" t="str">
        <f ca="1">IFERROR(__xludf.DUMFUNCTION("GOOGLETRANSLATE(A6278,""id"",""en"")"),"  is strange, the gas station is told to open the cellphone")</f>
        <v xml:space="preserve">  is strange, the gas station is told to open the cellphone</v>
      </c>
    </row>
    <row r="6105" spans="1:2" x14ac:dyDescent="0.2">
      <c r="A6105" s="1" t="s">
        <v>839</v>
      </c>
      <c r="B6105" s="1" t="str">
        <f ca="1">IFERROR(__xludf.DUMFUNCTION("GOOGLETRANSLATE(A6279,""id"",""en"")"),"woii njing sby times appeal")</f>
        <v>woii njing sby times appeal</v>
      </c>
    </row>
    <row r="6106" spans="1:2" x14ac:dyDescent="0.2">
      <c r="A6106" s="1" t="s">
        <v>2243</v>
      </c>
      <c r="B6106" s="1" t="str">
        <f ca="1">IFERROR(__xludf.DUMFUNCTION("GOOGLETRANSLATE(A6280,""id"",""en"")"),"not yet if the app's advertisement is  Cuan Parahh")</f>
        <v>not yet if the app's advertisement is  Cuan Parahh</v>
      </c>
    </row>
    <row r="6107" spans="1:2" x14ac:dyDescent="0.2">
      <c r="A6107" s="1" t="s">
        <v>5731</v>
      </c>
      <c r="B6107" s="1" t="str">
        <f ca="1">IFERROR(__xludf.DUMFUNCTION("GOOGLETRANSLATE(A6281,""id"",""en"")"),"tight buying fuel Pertalite Solar  Buy BBM must use pertamin")</f>
        <v>tight buying fuel Pertalite Solar  Buy BBM must use pertamin</v>
      </c>
    </row>
    <row r="6108" spans="1:2" x14ac:dyDescent="0.2">
      <c r="A6108" s="1" t="s">
        <v>2244</v>
      </c>
      <c r="B6108" s="1" t="str">
        <f ca="1">IFERROR(__xludf.DUMFUNCTION("GOOGLETRANSLATE(A6282,""id"",""en"")"),"Petamina Malang N Dast Ncari Sunti Dana Application")</f>
        <v>Petamina Malang N Dast Ncari Sunti Dana Application</v>
      </c>
    </row>
    <row r="6109" spans="1:2" x14ac:dyDescent="0.2">
      <c r="A6109" s="1" t="s">
        <v>2245</v>
      </c>
      <c r="B6109" s="1" t="str">
        <f ca="1">IFERROR(__xludf.DUMFUNCTION("GOOGLETRANSLATE(A6283,""id"",""en"")"),"PJS Corporate Secretary PT  Patra Irto Ginting Region Choosing ")</f>
        <v xml:space="preserve">PJS Corporate Secretary PT  Patra Irto Ginting Region Choosing </v>
      </c>
    </row>
    <row r="6110" spans="1:2" x14ac:dyDescent="0.2">
      <c r="A6110" s="1" t="s">
        <v>840</v>
      </c>
      <c r="B6110" s="1" t="str">
        <f ca="1">IFERROR(__xludf.DUMFUNCTION("GOOGLETRANSLATE(A6284,""id"",""en"")"),"if it is difficult for the DPRLlayakDiraformaTotal Rakyakuak")</f>
        <v>if it is difficult for the DPRLlayakDiraformaTotal Rakyakuak</v>
      </c>
    </row>
    <row r="6111" spans="1:2" x14ac:dyDescent="0.2">
      <c r="A6111" s="1" t="s">
        <v>2246</v>
      </c>
      <c r="B6111" s="1" t="str">
        <f ca="1">IFERROR(__xludf.DUMFUNCTION("GOOGLETRANSLATE(A6285,""id"",""en"")"),"ok, thank you, help, it is clear that  is working")</f>
        <v>ok, thank you, help, it is clear that  is working</v>
      </c>
    </row>
    <row r="6112" spans="1:2" x14ac:dyDescent="0.2">
      <c r="A6112" s="1" t="s">
        <v>836</v>
      </c>
      <c r="B6112" s="1" t="str">
        <f ca="1">IFERROR(__xludf.DUMFUNCTION("GOOGLETRANSLATE(A6286,""id"",""en"")"),"gas station employees please shout ears selling applications")</f>
        <v>gas station employees please shout ears selling applications</v>
      </c>
    </row>
    <row r="6113" spans="1:2" x14ac:dyDescent="0.2">
      <c r="A6113" s="1" t="s">
        <v>2247</v>
      </c>
      <c r="B6113" s="1" t="str">
        <f ca="1">IFERROR(__xludf.DUMFUNCTION("GOOGLETRANSLATE(A6287,""id"",""en"")"),"worried that  Corporate Secretary Patra Niaga Irto Ginting Guna Tele")</f>
        <v>worried that  Corporate Secretary Patra Niaga Irto Ginting Guna Tele</v>
      </c>
    </row>
    <row r="6114" spans="1:2" x14ac:dyDescent="0.2">
      <c r="A6114" s="1" t="s">
        <v>841</v>
      </c>
      <c r="B6114" s="1" t="str">
        <f ca="1">IFERROR(__xludf.DUMFUNCTION("GOOGLETRANSLATE(A6288,""id"",""en"")"),"Min, buy pertalite pom to play cellphone")</f>
        <v>Min, buy pertalite pom to play cellphone</v>
      </c>
    </row>
    <row r="6115" spans="1:2" x14ac:dyDescent="0.2">
      <c r="A6115" s="1" t="s">
        <v>5732</v>
      </c>
      <c r="B6115" s="1" t="str">
        <f ca="1">IFERROR(__xludf.DUMFUNCTION("GOOGLETRANSLATE(A6289,""id"",""en"")"),"Jogja kids nudh use   apk haha")</f>
        <v>Jogja kids nudh use   apk haha</v>
      </c>
    </row>
    <row r="6116" spans="1:2" x14ac:dyDescent="0.2">
      <c r="A6116" s="1" t="s">
        <v>2239</v>
      </c>
      <c r="B6116" s="1" t="str">
        <f ca="1">IFERROR(__xludf.DUMFUNCTION("GOOGLETRANSLATE(A6290,""id"",""en"")"),"Those who insist on  stupid use the cellphone gas station")</f>
        <v>Those who insist on  stupid use the cellphone gas station</v>
      </c>
    </row>
    <row r="6117" spans="1:2" x14ac:dyDescent="0.2">
      <c r="A6117" s="1" t="s">
        <v>2248</v>
      </c>
      <c r="B6117" s="1" t="str">
        <f ca="1">IFERROR(__xludf.DUMFUNCTION("GOOGLETRANSLATE(A6291,""id"",""en"")")," Needs Application Funds")</f>
        <v xml:space="preserve"> Needs Application Funds</v>
      </c>
    </row>
    <row r="6118" spans="1:2" x14ac:dyDescent="0.2">
      <c r="A6118" s="1" t="s">
        <v>842</v>
      </c>
      <c r="B6118" s="1" t="str">
        <f ca="1">IFERROR(__xludf.DUMFUNCTION("GOOGLETRANSLATE(A6292,""id"",""en"")"),"if complicated makes it easy cc")</f>
        <v>if complicated makes it easy cc</v>
      </c>
    </row>
    <row r="6119" spans="1:2" x14ac:dyDescent="0.2">
      <c r="A6119" s="1" t="s">
        <v>2249</v>
      </c>
      <c r="B6119" s="1" t="str">
        <f ca="1">IFERROR(__xludf.DUMFUNCTION("GOOGLETRANSLATE(A6293,""id"",""en"")"),"The usual order of the gas spinning is just moving shell hahaha goodbye ")</f>
        <v xml:space="preserve">The usual order of the gas spinning is just moving shell hahaha goodbye </v>
      </c>
    </row>
    <row r="6120" spans="1:2" x14ac:dyDescent="0.2">
      <c r="A6120" s="1" t="s">
        <v>843</v>
      </c>
      <c r="B6120" s="1" t="str">
        <f ca="1">IFERROR(__xludf.DUMFUNCTION("GOOGLETRANSLATE(A6294,""id"",""en"")"),"should arrange the langgar wkwkwk")</f>
        <v>should arrange the langgar wkwkwk</v>
      </c>
    </row>
    <row r="6121" spans="1:2" x14ac:dyDescent="0.2">
      <c r="A6121" s="1" t="s">
        <v>2250</v>
      </c>
      <c r="B6121" s="1" t="str">
        <f ca="1">IFERROR(__xludf.DUMFUNCTION("GOOGLETRANSLATE(A6295,""id"",""en"")"),"people who rights according to the list of 's efforts")</f>
        <v>people who rights according to the list of 's efforts</v>
      </c>
    </row>
    <row r="6122" spans="1:2" x14ac:dyDescent="0.2">
      <c r="A6122" s="1" t="s">
        <v>2225</v>
      </c>
      <c r="B6122" s="1" t="str">
        <f ca="1">IFERROR(__xludf.DUMFUNCTION("GOOGLETRANSLATE(A6296,""id"",""en"")")," Open Hp SPBU")</f>
        <v xml:space="preserve"> Open Hp SPBU</v>
      </c>
    </row>
    <row r="6123" spans="1:2" x14ac:dyDescent="0.2">
      <c r="A6123" s="1" t="s">
        <v>2251</v>
      </c>
      <c r="B6123" s="1" t="str">
        <f ca="1">IFERROR(__xludf.DUMFUNCTION("GOOGLETRANSLATE(A6297,""id"",""en"")")," apps, it's not a member card, just like Indomaret Alfamart, just use NIK")</f>
        <v xml:space="preserve"> apps, it's not a member card, just like Indomaret Alfamart, just use NIK</v>
      </c>
    </row>
    <row r="6124" spans="1:2" x14ac:dyDescent="0.2">
      <c r="A6124" s="1" t="s">
        <v>2238</v>
      </c>
      <c r="B6124" s="1" t="str">
        <f ca="1">IFERROR(__xludf.DUMFUNCTION("GOOGLETRANSLATE(A6298,""id"",""en"")"),"Prank  prohibits the cellphone pom nhoax dahal the gas station is also playing the cellphone")</f>
        <v>Prank  prohibits the cellphone pom nhoax dahal the gas station is also playing the cellphone</v>
      </c>
    </row>
    <row r="6125" spans="1:2" x14ac:dyDescent="0.2">
      <c r="A6125" s="1" t="s">
        <v>844</v>
      </c>
      <c r="B6125" s="1" t="str">
        <f ca="1">IFERROR(__xludf.DUMFUNCTION("GOOGLETRANSLATE(A6299,""id"",""en"")"),"Really brilliant")</f>
        <v>Really brilliant</v>
      </c>
    </row>
    <row r="6126" spans="1:2" x14ac:dyDescent="0.2">
      <c r="A6126" s="1" t="s">
        <v>2252</v>
      </c>
      <c r="B6126" s="1" t="str">
        <f ca="1">IFERROR(__xludf.DUMFUNCTION("GOOGLETRANSLATE(A6300,""id"",""en"")")," Data Profile for Trends Needs Pertalite Solar BBM")</f>
        <v xml:space="preserve"> Data Profile for Trends Needs Pertalite Solar BBM</v>
      </c>
    </row>
    <row r="6127" spans="1:2" x14ac:dyDescent="0.2">
      <c r="A6127" s="1" t="s">
        <v>5733</v>
      </c>
      <c r="B6127" s="1" t="str">
        <f ca="1">IFERROR(__xludf.DUMFUNCTION("GOOGLETRANSLATE(A6301,""id"",""en"")"),"the public is obliged to register for  application buying solar pertalite")</f>
        <v>the public is obliged to register for  application buying solar pertalite</v>
      </c>
    </row>
    <row r="6128" spans="1:2" x14ac:dyDescent="0.2">
      <c r="A6128" s="1" t="s">
        <v>1275</v>
      </c>
      <c r="B6128" s="1" t="str">
        <f ca="1">IFERROR(__xludf.DUMFUNCTION("GOOGLETRANSLATE(A6302,""id"",""en"")"),"Just buy the Kopetitor  Vivo is slightly different if the shell is more expensive")</f>
        <v>Just buy the Kopetitor  Vivo is slightly different if the shell is more expensive</v>
      </c>
    </row>
    <row r="6129" spans="1:2" x14ac:dyDescent="0.2">
      <c r="A6129" s="1" t="s">
        <v>5734</v>
      </c>
      <c r="B6129" s="1" t="str">
        <f ca="1">IFERROR(__xludf.DUMFUNCTION("GOOGLETRANSLATE(A6303,""id"",""en"")"),"Set Buy BBM Pertalite Solar The    Application")</f>
        <v>Set Buy BBM Pertalite Solar The    Application</v>
      </c>
    </row>
    <row r="6130" spans="1:2" x14ac:dyDescent="0.2">
      <c r="A6130" s="1" t="s">
        <v>845</v>
      </c>
      <c r="B6130" s="1" t="str">
        <f ca="1">IFERROR(__xludf.DUMFUNCTION("GOOGLETRANSLATE(A6304,""id"",""en"")"),"Calculator sis hp")</f>
        <v>Calculator sis hp</v>
      </c>
    </row>
    <row r="6131" spans="1:2" x14ac:dyDescent="0.2">
      <c r="A6131" s="1" t="s">
        <v>846</v>
      </c>
      <c r="B6131" s="1" t="str">
        <f ca="1">IFERROR(__xludf.DUMFUNCTION("GOOGLETRANSLATE(A6305,""id"",""en"")"),"Wait for the argument of reasoning defects")</f>
        <v>Wait for the argument of reasoning defects</v>
      </c>
    </row>
    <row r="6132" spans="1:2" x14ac:dyDescent="0.2">
      <c r="A6132" s="1" t="s">
        <v>5735</v>
      </c>
      <c r="B6132" s="1" t="str">
        <f ca="1">IFERROR(__xludf.DUMFUNCTION("GOOGLETRANSLATE(A6306,""id"",""en"")"),"for   link just try evaluating the rain server drop")</f>
        <v>for   link just try evaluating the rain server drop</v>
      </c>
    </row>
    <row r="6133" spans="1:2" x14ac:dyDescent="0.2">
      <c r="A6133" s="1" t="s">
        <v>847</v>
      </c>
      <c r="B6133" s="1" t="str">
        <f ca="1">IFERROR(__xludf.DUMFUNCTION("GOOGLETRANSLATE(A6307,""id"",""en"")"),"the moment not competitively forward technology say strange")</f>
        <v>the moment not competitively forward technology say strange</v>
      </c>
    </row>
    <row r="6134" spans="1:2" x14ac:dyDescent="0.2">
      <c r="A6134" s="1" t="s">
        <v>2236</v>
      </c>
      <c r="B6134" s="1" t="str">
        <f ca="1">IFERROR(__xludf.DUMFUNCTION("GOOGLETRANSLATE(A6308,""id"",""en"")"),"playing the cellphone smoking  gas station")</f>
        <v>playing the cellphone smoking  gas station</v>
      </c>
    </row>
    <row r="6135" spans="1:2" x14ac:dyDescent="0.2">
      <c r="A6135" s="1" t="s">
        <v>848</v>
      </c>
      <c r="B6135" s="1" t="str">
        <f ca="1">IFERROR(__xludf.DUMFUNCTION("GOOGLETRANSLATE(A6309,""id"",""en"")"),"To prohibit the contents of the BBM now, open the HP application.")</f>
        <v>To prohibit the contents of the BBM now, open the HP application.</v>
      </c>
    </row>
    <row r="6136" spans="1:2" x14ac:dyDescent="0.2">
      <c r="A6136" s="1" t="s">
        <v>5736</v>
      </c>
      <c r="B6136" s="1" t="str">
        <f ca="1">IFERROR(__xludf.DUMFUNCTION("GOOGLETRANSLATE(A6310,""id"",""en"")"),"Bossman   Application Using Advanced Technology")</f>
        <v>Bossman   Application Using Advanced Technology</v>
      </c>
    </row>
    <row r="6137" spans="1:2" x14ac:dyDescent="0.2">
      <c r="A6137" s="1" t="s">
        <v>1008</v>
      </c>
      <c r="B6137" s="1" t="str">
        <f ca="1">IFERROR(__xludf.DUMFUNCTION("GOOGLETRANSLATE(A6311,""id"",""en"")"),"KSP is worried that 's wise subsidized fuel quota is absorbed")</f>
        <v>KSP is worried that 's wise subsidized fuel quota is absorbed</v>
      </c>
    </row>
    <row r="6138" spans="1:2" x14ac:dyDescent="0.2">
      <c r="A6138" s="1" t="s">
        <v>849</v>
      </c>
      <c r="B6138" s="1" t="str">
        <f ca="1">IFERROR(__xludf.DUMFUNCTION("GOOGLETRANSLATE(A6312,""id"",""en"")"),"It's different, it's different, it's different")</f>
        <v>It's different, it's different, it's different</v>
      </c>
    </row>
    <row r="6139" spans="1:2" x14ac:dyDescent="0.2">
      <c r="A6139" s="1" t="s">
        <v>2253</v>
      </c>
      <c r="B6139" s="1" t="str">
        <f ca="1">IFERROR(__xludf.DUMFUNCTION("GOOGLETRANSLATE(A6313,""id"",""en"")"),"the public tells the balance of 's apps so that the money is to pay the debt")</f>
        <v>the public tells the balance of 's apps so that the money is to pay the debt</v>
      </c>
    </row>
    <row r="6140" spans="1:2" x14ac:dyDescent="0.2">
      <c r="A6140" s="1" t="s">
        <v>2254</v>
      </c>
      <c r="B6140" s="1" t="str">
        <f ca="1">IFERROR(__xludf.DUMFUNCTION("GOOGLETRANSLATE(A6314,""id"",""en"")"),"PT  Patra Niaga Laku Buy Pertalite Solar Gun")</f>
        <v>PT  Patra Niaga Laku Buy Pertalite Solar Gun</v>
      </c>
    </row>
    <row r="6141" spans="1:2" x14ac:dyDescent="0.2">
      <c r="A6141" s="1" t="s">
        <v>2255</v>
      </c>
      <c r="B6141" s="1" t="str">
        <f ca="1">IFERROR(__xludf.DUMFUNCTION("GOOGLETRANSLATE(A6315,""id"",""en"")"),"PT  Patra Niaga Laku Buy Pertalite Solar Ap")</f>
        <v>PT  Patra Niaga Laku Buy Pertalite Solar Ap</v>
      </c>
    </row>
    <row r="6142" spans="1:2" x14ac:dyDescent="0.2">
      <c r="A6142" s="1" t="s">
        <v>2256</v>
      </c>
      <c r="B6142" s="1" t="str">
        <f ca="1">IFERROR(__xludf.DUMFUNCTION("GOOGLETRANSLATE(A6316,""id"",""en"")"),"News of PT  Patra Niaga's Gengs Gengs Laku Buy Pertalite Solar")</f>
        <v>News of PT  Patra Niaga's Gengs Gengs Laku Buy Pertalite Solar</v>
      </c>
    </row>
    <row r="6143" spans="1:2" x14ac:dyDescent="0.2">
      <c r="A6143" s="1" t="s">
        <v>2257</v>
      </c>
      <c r="B6143" s="1" t="str">
        <f ca="1">IFERROR(__xludf.DUMFUNCTION("GOOGLETRANSLATE(A6317,""id"",""en"")"),"Check out PT  Patra Niaga Laku Buy Pertalite Solar uses")</f>
        <v>Check out PT  Patra Niaga Laku Buy Pertalite Solar uses</v>
      </c>
    </row>
    <row r="6144" spans="1:2" x14ac:dyDescent="0.2">
      <c r="A6144" s="1" t="s">
        <v>2258</v>
      </c>
      <c r="B6144" s="1" t="str">
        <f ca="1">IFERROR(__xludf.DUMFUNCTION("GOOGLETRANSLATE(A6318,""id"",""en"")"),"Mutual I know PT  Patra Niaga Laku Buy Pertalite Solar Me")</f>
        <v>Mutual I know PT  Patra Niaga Laku Buy Pertalite Solar Me</v>
      </c>
    </row>
    <row r="6145" spans="1:2" x14ac:dyDescent="0.2">
      <c r="A6145" s="1" t="s">
        <v>2259</v>
      </c>
      <c r="B6145" s="1" t="str">
        <f ca="1">IFERROR(__xludf.DUMFUNCTION("GOOGLETRANSLATE(A6319,""id"",""en"")"),"wise NPT  Patra Niaga Buy Pertalite Solar Guna")</f>
        <v>wise NPT  Patra Niaga Buy Pertalite Solar Guna</v>
      </c>
    </row>
    <row r="6146" spans="1:2" x14ac:dyDescent="0.2">
      <c r="A6146" s="1" t="s">
        <v>850</v>
      </c>
      <c r="B6146" s="1" t="str">
        <f ca="1">IFERROR(__xludf.DUMFUNCTION("GOOGLETRANSLATE(A6320,""id"",""en"")"),"if complicated, you have to be easy")</f>
        <v>if complicated, you have to be easy</v>
      </c>
    </row>
    <row r="6147" spans="1:2" x14ac:dyDescent="0.2">
      <c r="A6147" s="1" t="s">
        <v>2260</v>
      </c>
      <c r="B6147" s="1" t="str">
        <f ca="1">IFERROR(__xludf.DUMFUNCTION("GOOGLETRANSLATE(A6321,""id"",""en"")"),"February Salur Solar Subsidies Full of  Natural")</f>
        <v>February Salur Solar Subsidies Full of  Natural</v>
      </c>
    </row>
    <row r="6148" spans="1:2" x14ac:dyDescent="0.2">
      <c r="A6148" s="1" t="s">
        <v>2261</v>
      </c>
      <c r="B6148" s="1" t="str">
        <f ca="1">IFERROR(__xludf.DUMFUNCTION("GOOGLETRANSLATE(A6322,""id"",""en"")")," added the supply of gas stations more smoothly quota distribution")</f>
        <v xml:space="preserve"> added the supply of gas stations more smoothly quota distribution</v>
      </c>
    </row>
    <row r="6149" spans="1:2" x14ac:dyDescent="0.2">
      <c r="A6149" s="1" t="s">
        <v>2262</v>
      </c>
      <c r="B6149" s="1" t="str">
        <f ca="1">IFERROR(__xludf.DUMFUNCTION("GOOGLETRANSLATE(A6323,""id"",""en"")")," coordinating safe officials for solar subsidies")</f>
        <v xml:space="preserve"> coordinating safe officials for solar subsidies</v>
      </c>
    </row>
    <row r="6150" spans="1:2" x14ac:dyDescent="0.2">
      <c r="A6150" s="1" t="s">
        <v>2263</v>
      </c>
      <c r="B6150" s="1" t="str">
        <f ca="1">IFERROR(__xludf.DUMFUNCTION("GOOGLETRANSLATE(A6324,""id"",""en"")"),"Distribution of  Land Sea Air Fuel")</f>
        <v>Distribution of  Land Sea Air Fuel</v>
      </c>
    </row>
    <row r="6151" spans="1:2" x14ac:dyDescent="0.2">
      <c r="A6151" s="1" t="s">
        <v>2264</v>
      </c>
      <c r="B6151" s="1" t="str">
        <f ca="1">IFERROR(__xludf.DUMFUNCTION("GOOGLETRANSLATE(A6325,""id"",""en"")")," Current Safe National Distribution")</f>
        <v xml:space="preserve"> Current Safe National Distribution</v>
      </c>
    </row>
    <row r="6152" spans="1:2" x14ac:dyDescent="0.2">
      <c r="A6152" s="1" t="s">
        <v>2265</v>
      </c>
      <c r="B6152" s="1" t="str">
        <f ca="1">IFERROR(__xludf.DUMFUNCTION("GOOGLETRANSLATE(A6326,""id"",""en"")")," definitely supplies a safe diesel fuel")</f>
        <v xml:space="preserve"> definitely supplies a safe diesel fuel</v>
      </c>
    </row>
    <row r="6153" spans="1:2" x14ac:dyDescent="0.2">
      <c r="A6153" s="1" t="s">
        <v>2266</v>
      </c>
      <c r="B6153" s="1" t="str">
        <f ca="1">IFERROR(__xludf.DUMFUNCTION("GOOGLETRANSLATE(A6327,""id"",""en"")")," Sure BBM is safe")</f>
        <v xml:space="preserve"> Sure BBM is safe</v>
      </c>
    </row>
    <row r="6154" spans="1:2" x14ac:dyDescent="0.2">
      <c r="A6154" s="1" t="s">
        <v>2267</v>
      </c>
      <c r="B6154" s="1" t="str">
        <f ca="1">IFERROR(__xludf.DUMFUNCTION("GOOGLETRANSLATE(A6328,""id"",""en"")"),"PT  Patra Niaga Laku Buy Pertalite Solar APL")</f>
        <v>PT  Patra Niaga Laku Buy Pertalite Solar APL</v>
      </c>
    </row>
    <row r="6155" spans="1:2" x14ac:dyDescent="0.2">
      <c r="A6155" s="1" t="s">
        <v>2268</v>
      </c>
      <c r="B6155" s="1" t="str">
        <f ca="1">IFERROR(__xludf.DUMFUNCTION("GOOGLETRANSLATE(A6329,""id"",""en"")"),"Hot News NPT  Patra Niaga Laku Buy Pertalite Solar Ap")</f>
        <v>Hot News NPT  Patra Niaga Laku Buy Pertalite Solar Ap</v>
      </c>
    </row>
    <row r="6156" spans="1:2" x14ac:dyDescent="0.2">
      <c r="A6156" s="1" t="s">
        <v>5737</v>
      </c>
      <c r="B6156" s="1" t="str">
        <f ca="1">IFERROR(__xludf.DUMFUNCTION("GOOGLETRANSLATE(A6330,""id"",""en"")"),"No, the fee for the cost of top up the balance of the link balance, ")</f>
        <v xml:space="preserve">No, the fee for the cost of top up the balance of the link balance, </v>
      </c>
    </row>
    <row r="6157" spans="1:2" x14ac:dyDescent="0.2">
      <c r="A6157" s="1" t="s">
        <v>851</v>
      </c>
      <c r="B6157" s="1" t="str">
        <f ca="1">IFERROR(__xludf.DUMFUNCTION("GOOGLETRANSLATE(A6331,""id"",""en"")"),"cc think")</f>
        <v>cc think</v>
      </c>
    </row>
    <row r="6158" spans="1:2" x14ac:dyDescent="0.2">
      <c r="A6158" s="1" t="s">
        <v>2269</v>
      </c>
      <c r="B6158" s="1" t="str">
        <f ca="1">IFERROR(__xludf.DUMFUNCTION("GOOGLETRANSLATE(A6332,""id"",""en"")"),"Pay attention to NPT  Patra Niaga Laku Buy Solar Pertalite")</f>
        <v>Pay attention to NPT  Patra Niaga Laku Buy Solar Pertalite</v>
      </c>
    </row>
    <row r="6159" spans="1:2" x14ac:dyDescent="0.2">
      <c r="A6159" s="1" t="s">
        <v>5738</v>
      </c>
      <c r="B6159" s="1" t="str">
        <f ca="1">IFERROR(__xludf.DUMFUNCTION("GOOGLETRANSLATE(A6333,""id"",""en"")"),"agreed to buy BBM aware of  control of   the solution is definitely using")</f>
        <v>agreed to buy BBM aware of  control of   the solution is definitely using</v>
      </c>
    </row>
    <row r="6160" spans="1:2" x14ac:dyDescent="0.2">
      <c r="A6160" s="1" t="s">
        <v>815</v>
      </c>
      <c r="B6160" s="1" t="str">
        <f ca="1">IFERROR(__xludf.DUMFUNCTION("GOOGLETRANSLATE(A6334,""id"",""en"")"),"Find solutions")</f>
        <v>Find solutions</v>
      </c>
    </row>
    <row r="6161" spans="1:2" x14ac:dyDescent="0.2">
      <c r="A6161" s="1" t="s">
        <v>2270</v>
      </c>
      <c r="B6161" s="1" t="str">
        <f ca="1">IFERROR(__xludf.DUMFUNCTION("GOOGLETRANSLATE(A6335,""id"",""en"")"),"PT  Patra Niaga Laku Buy Pertalite Solar Application")</f>
        <v>PT  Patra Niaga Laku Buy Pertalite Solar Application</v>
      </c>
    </row>
    <row r="6162" spans="1:2" x14ac:dyDescent="0.2">
      <c r="A6162" s="1" t="s">
        <v>2271</v>
      </c>
      <c r="B6162" s="1" t="str">
        <f ca="1">IFERROR(__xludf.DUMFUNCTION("GOOGLETRANSLATE(A6336,""id"",""en"")"),"PT  Persero appealed to the public to buy BBM Type Pertalite Application")</f>
        <v>PT  Persero appealed to the public to buy BBM Type Pertalite Application</v>
      </c>
    </row>
    <row r="6163" spans="1:2" x14ac:dyDescent="0.2">
      <c r="A6163" s="1" t="s">
        <v>852</v>
      </c>
      <c r="B6163" s="1" t="str">
        <f ca="1">IFERROR(__xludf.DUMFUNCTION("GOOGLETRANSLATE(A6337,""id"",""en"")"),"Victims Burns casualties Playing Hp Gas Station")</f>
        <v>Victims Burns casualties Playing Hp Gas Station</v>
      </c>
    </row>
    <row r="6164" spans="1:2" x14ac:dyDescent="0.2">
      <c r="A6164" s="1" t="s">
        <v>5739</v>
      </c>
      <c r="B6164" s="1" t="str">
        <f ca="1">IFERROR(__xludf.DUMFUNCTION("GOOGLETRANSLATE(A6338,""id"",""en"")"),"JULY BUY BBM Pertalite Solar owned by QR Code  List")</f>
        <v>JULY BUY BBM Pertalite Solar owned by QR Code  List</v>
      </c>
    </row>
    <row r="6165" spans="1:2" x14ac:dyDescent="0.2">
      <c r="A6165" s="1" t="s">
        <v>209</v>
      </c>
      <c r="B6165" s="1" t="str">
        <f ca="1">IFERROR(__xludf.DUMFUNCTION("GOOGLETRANSLATE(A6339,""id"",""en"")"),"Sungsang Drunn's brain")</f>
        <v>Sungsang Drunn's brain</v>
      </c>
    </row>
    <row r="6166" spans="1:2" x14ac:dyDescent="0.2">
      <c r="A6166" s="1" t="s">
        <v>5740</v>
      </c>
      <c r="B6166" s="1" t="str">
        <f ca="1">IFERROR(__xludf.DUMFUNCTION("GOOGLETRANSLATE(A6340,""id"",""en"")"),"Reject the proposal to buy pertalite using   making it difficult to miserable people Rakya")</f>
        <v>Reject the proposal to buy pertalite using   making it difficult to miserable people Rakya</v>
      </c>
    </row>
    <row r="6167" spans="1:2" x14ac:dyDescent="0.2">
      <c r="A6167" s="1" t="s">
        <v>1003</v>
      </c>
      <c r="B6167" s="1" t="str">
        <f ca="1">IFERROR(__xludf.DUMFUNCTION("GOOGLETRANSLATE(A6341,""id"",""en"")"),"told to use  Wifi")</f>
        <v>told to use  Wifi</v>
      </c>
    </row>
    <row r="6168" spans="1:2" x14ac:dyDescent="0.2">
      <c r="A6168" s="1" t="s">
        <v>210</v>
      </c>
      <c r="B6168" s="1" t="str">
        <f ca="1">IFERROR(__xludf.DUMFUNCTION("GOOGLETRANSLATE(A6342,""id"",""en"")"),"breech brain")</f>
        <v>breech brain</v>
      </c>
    </row>
    <row r="6169" spans="1:2" x14ac:dyDescent="0.2">
      <c r="A6169" s="1" t="s">
        <v>2272</v>
      </c>
      <c r="B6169" s="1" t="str">
        <f ca="1">IFERROR(__xludf.DUMFUNCTION("GOOGLETRANSLATE(A6343,""id"",""en"")"),"Just crazy in using  app that needs the internet, just know in the one who uses the app")</f>
        <v>Just crazy in using  app that needs the internet, just know in the one who uses the app</v>
      </c>
    </row>
    <row r="6170" spans="1:2" x14ac:dyDescent="0.2">
      <c r="A6170" s="1" t="s">
        <v>5741</v>
      </c>
      <c r="B6170" s="1" t="str">
        <f ca="1">IFERROR(__xludf.DUMFUNCTION("GOOGLETRANSLATE(A6344,""id"",""en"")")," Jalan Test Trial Salur BBM Subsidy Salang Application  Where Masya")</f>
        <v xml:space="preserve"> Jalan Test Trial Salur BBM Subsidy Salang Application  Where Masya</v>
      </c>
    </row>
    <row r="6171" spans="1:2" x14ac:dyDescent="0.2">
      <c r="A6171" s="1" t="s">
        <v>1004</v>
      </c>
      <c r="B6171" s="1" t="str">
        <f ca="1">IFERROR(__xludf.DUMFUNCTION("GOOGLETRANSLATE(A6345,""id"",""en"")"),"Failure to take care of  Rakyat Difficult Djancookkk")</f>
        <v>Failure to take care of  Rakyat Difficult Djancookkk</v>
      </c>
    </row>
    <row r="6172" spans="1:2" x14ac:dyDescent="0.2">
      <c r="A6172" s="1" t="s">
        <v>2273</v>
      </c>
      <c r="B6172" s="1" t="str">
        <f ca="1">IFERROR(__xludf.DUMFUNCTION("GOOGLETRANSLATE(A6346,""id"",""en"")")," Managing Director Patra Niaga Alfian Nasution got  Business Entity Selling Pertalite")</f>
        <v xml:space="preserve"> Managing Director Patra Niaga Alfian Nasution got  Business Entity Selling Pertalite</v>
      </c>
    </row>
    <row r="6173" spans="1:2" x14ac:dyDescent="0.2">
      <c r="A6173" s="1" t="s">
        <v>5742</v>
      </c>
      <c r="B6173" s="1" t="str">
        <f ca="1">IFERROR(__xludf.DUMFUNCTION("GOOGLETRANSLATE(A6347,""id"",""en"")"),"July the people of the    APPLICATION")</f>
        <v>July the people of the    APPLICATION</v>
      </c>
    </row>
    <row r="6174" spans="1:2" x14ac:dyDescent="0.2">
      <c r="A6174" s="1" t="s">
        <v>2274</v>
      </c>
      <c r="B6174" s="1" t="str">
        <f ca="1">IFERROR(__xludf.DUMFUNCTION("GOOGLETRANSLATE(A6348,""id"",""en"")"),"PG TUNAS HOPE  NTK TUNAS HAPPY  NSD SD PLUS MURUNG PUDAK NSMP SMP PLUS GURUNG")</f>
        <v>PG TUNAS HOPE  NTK TUNAS HAPPY  NSD SD PLUS MURUNG PUDAK NSMP SMP PLUS GURUNG</v>
      </c>
    </row>
    <row r="6175" spans="1:2" x14ac:dyDescent="0.2">
      <c r="A6175" s="1" t="s">
        <v>853</v>
      </c>
      <c r="B6175" s="1" t="str">
        <f ca="1">IFERROR(__xludf.DUMFUNCTION("GOOGLETRANSLATE(A6349,""id"",""en"")"),"brp subsidized orders for the type of fuel to open the community spy")</f>
        <v>brp subsidized orders for the type of fuel to open the community spy</v>
      </c>
    </row>
    <row r="6176" spans="1:2" x14ac:dyDescent="0.2">
      <c r="A6176" s="1" t="s">
        <v>5743</v>
      </c>
      <c r="B6176" s="1" t="str">
        <f ca="1">IFERROR(__xludf.DUMFUNCTION("GOOGLETRANSLATE(A6350,""id"",""en"")")," Officially Slide Application  Adjusting PERTALITE SOLAR UN RIGHTS")</f>
        <v xml:space="preserve"> Officially Slide Application  Adjusting PERTALITE SOLAR UN RIGHTS</v>
      </c>
    </row>
    <row r="6177" spans="1:2" x14ac:dyDescent="0.2">
      <c r="A6177" s="1" t="s">
        <v>5744</v>
      </c>
      <c r="B6177" s="1" t="str">
        <f ca="1">IFERROR(__xludf.DUMFUNCTION("GOOGLETRANSLATE(A6351,""id"",""en"")")," innovation  is aimed at buying fuel subsidies for trials")</f>
        <v xml:space="preserve"> innovation  is aimed at buying fuel subsidies for trials</v>
      </c>
    </row>
    <row r="6178" spans="1:2" x14ac:dyDescent="0.2">
      <c r="A6178" s="1" t="s">
        <v>854</v>
      </c>
      <c r="B6178" s="1" t="str">
        <f ca="1">IFERROR(__xludf.DUMFUNCTION("GOOGLETRANSLATE(A6352,""id"",""en"")"),"Minister of BUMN airline flying Pelita Air Layan Tumpang Millennial Nanak PERT")</f>
        <v>Minister of BUMN airline flying Pelita Air Layan Tumpang Millennial Nanak PERT</v>
      </c>
    </row>
    <row r="6179" spans="1:2" x14ac:dyDescent="0.2">
      <c r="A6179" s="1" t="s">
        <v>4972</v>
      </c>
      <c r="B6179" s="1" t="str">
        <f ca="1">IFERROR(__xludf.DUMFUNCTION("GOOGLETRANSLATE(A6353,""id"",""en"")")," is strange or not a gas station with  ")</f>
        <v xml:space="preserve"> is strange or not a gas station with  </v>
      </c>
    </row>
    <row r="6180" spans="1:2" x14ac:dyDescent="0.2">
      <c r="A6180" s="1" t="s">
        <v>5745</v>
      </c>
      <c r="B6180" s="1" t="str">
        <f ca="1">IFERROR(__xludf.DUMFUNCTION("GOOGLETRANSLATE(A6354,""id"",""en"")"),"after the downlod   then buy the cellphone pertalite it is turned on it or not")</f>
        <v>after the downlod   then buy the cellphone pertalite it is turned on it or not</v>
      </c>
    </row>
    <row r="6181" spans="1:2" x14ac:dyDescent="0.2">
      <c r="A6181" s="1" t="s">
        <v>1008</v>
      </c>
      <c r="B6181" s="1" t="str">
        <f ca="1">IFERROR(__xludf.DUMFUNCTION("GOOGLETRANSLATE(A6355,""id"",""en"")"),"KSP is worried that 's wise subsidized fuel quota is absorbed")</f>
        <v>KSP is worried that 's wise subsidized fuel quota is absorbed</v>
      </c>
    </row>
    <row r="6182" spans="1:2" x14ac:dyDescent="0.2">
      <c r="A6182" s="1" t="s">
        <v>2275</v>
      </c>
      <c r="B6182" s="1" t="str">
        <f ca="1">IFERROR(__xludf.DUMFUNCTION("GOOGLETRANSLATE(A6356,""id"",""en"")"),"Ahok has been happy to succeed, bro, bro,  salar, your government")</f>
        <v>Ahok has been happy to succeed, bro, bro,  salar, your government</v>
      </c>
    </row>
    <row r="6183" spans="1:2" x14ac:dyDescent="0.2">
      <c r="A6183" s="1" t="s">
        <v>1010</v>
      </c>
      <c r="B6183" s="1" t="str">
        <f ca="1">IFERROR(__xludf.DUMFUNCTION("GOOGLETRANSLATE(A6357,""id"",""en"")")," Register Member Ngak")</f>
        <v xml:space="preserve"> Register Member Ngak</v>
      </c>
    </row>
    <row r="6184" spans="1:2" x14ac:dyDescent="0.2">
      <c r="A6184" s="1" t="s">
        <v>212</v>
      </c>
      <c r="B6184" s="1" t="str">
        <f ca="1">IFERROR(__xludf.DUMFUNCTION("GOOGLETRANSLATE(A6358,""id"",""en"")"),"BUMN Minister Erick Thohir Airlines Flying Pelita Air Service Millennial Subsidiary")</f>
        <v>BUMN Minister Erick Thohir Airlines Flying Pelita Air Service Millennial Subsidiary</v>
      </c>
    </row>
    <row r="6185" spans="1:2" x14ac:dyDescent="0.2">
      <c r="A6185" s="1" t="s">
        <v>213</v>
      </c>
      <c r="B6185" s="1" t="str">
        <f ca="1">IFERROR(__xludf.DUMFUNCTION("GOOGLETRANSLATE(A6359,""id"",""en"")"),"Gening Bogor Oge euy like gin")</f>
        <v>Gening Bogor Oge euy like gin</v>
      </c>
    </row>
    <row r="6186" spans="1:2" x14ac:dyDescent="0.2">
      <c r="A6186" s="1" t="s">
        <v>2276</v>
      </c>
      <c r="B6186" s="1" t="str">
        <f ca="1">IFERROR(__xludf.DUMFUNCTION("GOOGLETRANSLATE(A6360,""id"",""en"")"),"Yes  cooperation Brad Jones Racing Supercars in")</f>
        <v>Yes  cooperation Brad Jones Racing Supercars in</v>
      </c>
    </row>
    <row r="6187" spans="1:2" x14ac:dyDescent="0.2">
      <c r="A6187" s="1" t="s">
        <v>214</v>
      </c>
      <c r="B6187" s="1" t="str">
        <f ca="1">IFERROR(__xludf.DUMFUNCTION("GOOGLETRANSLATE(A6361,""id"",""en"")"),"oh anti yes")</f>
        <v>oh anti yes</v>
      </c>
    </row>
    <row r="6188" spans="1:2" x14ac:dyDescent="0.2">
      <c r="A6188" s="1" t="s">
        <v>5746</v>
      </c>
      <c r="B6188" s="1" t="str">
        <f ca="1">IFERROR(__xludf.DUMFUNCTION("GOOGLETRANSLATE(A6362,""id"",""en"")"),"I have tested to pay for gasoline using   amp link so far it is delicious to use it")</f>
        <v>I have tested to pay for gasoline using   amp link so far it is delicious to use it</v>
      </c>
    </row>
    <row r="6189" spans="1:2" x14ac:dyDescent="0.2">
      <c r="A6189" s="1" t="s">
        <v>1013</v>
      </c>
      <c r="B6189" s="1" t="str">
        <f ca="1">IFERROR(__xludf.DUMFUNCTION("GOOGLETRANSLATE(A6363,""id"",""en"")"),"Hii  List")</f>
        <v>Hii  List</v>
      </c>
    </row>
    <row r="6190" spans="1:2" x14ac:dyDescent="0.2">
      <c r="A6190" s="1" t="s">
        <v>1014</v>
      </c>
      <c r="B6190" s="1" t="str">
        <f ca="1">IFERROR(__xludf.DUMFUNCTION("GOOGLETRANSLATE(A6364,""id"",""en"")"),"Bidji  Dah Uninstall Linkaja")</f>
        <v>Bidji  Dah Uninstall Linkaja</v>
      </c>
    </row>
    <row r="6191" spans="1:2" x14ac:dyDescent="0.2">
      <c r="A6191" s="1" t="s">
        <v>2277</v>
      </c>
      <c r="B6191" s="1" t="str">
        <f ca="1">IFERROR(__xludf.DUMFUNCTION("GOOGLETRANSLATE(A6365,""id"",""en"")"),"Askrl now filling in gasoline, I have to do the  app.")</f>
        <v>Askrl now filling in gasoline, I have to do the  app.</v>
      </c>
    </row>
    <row r="6192" spans="1:2" x14ac:dyDescent="0.2">
      <c r="A6192" s="1" t="s">
        <v>1016</v>
      </c>
      <c r="B6192" s="1" t="str">
        <f ca="1">IFERROR(__xludf.DUMFUNCTION("GOOGLETRANSLATE(A6366,""id"",""en"")")," Ep Boreh West Papua Well")</f>
        <v xml:space="preserve"> Ep Boreh West Papua Well</v>
      </c>
    </row>
    <row r="6193" spans="1:2" x14ac:dyDescent="0.2">
      <c r="A6193" s="1" t="s">
        <v>5747</v>
      </c>
      <c r="B6193" s="1" t="str">
        <f ca="1">IFERROR(__xludf.DUMFUNCTION("GOOGLETRANSLATE(A6367,""id"",""en"")")," is tight buying a solar pertalite buying  fuel")</f>
        <v xml:space="preserve"> is tight buying a solar pertalite buying  fuel</v>
      </c>
    </row>
    <row r="6194" spans="1:2" x14ac:dyDescent="0.2">
      <c r="A6194" s="1" t="s">
        <v>1017</v>
      </c>
      <c r="B6194" s="1" t="str">
        <f ca="1">IFERROR(__xludf.DUMFUNCTION("GOOGLETRANSLATE(A6368,""id"",""en"")"),"Boyfriend Year Can't Guard Sitting 's Chairs")</f>
        <v>Boyfriend Year Can't Guard Sitting 's Chairs</v>
      </c>
    </row>
    <row r="6195" spans="1:2" x14ac:dyDescent="0.2">
      <c r="A6195" s="1" t="s">
        <v>1018</v>
      </c>
      <c r="B6195" s="1" t="str">
        <f ca="1">IFERROR(__xludf.DUMFUNCTION("GOOGLETRANSLATE(A6369,""id"",""en"")"),"the consequences of investor gas station planting capital gas gas station burning gas stations because of looking for profit")</f>
        <v>the consequences of investor gas station planting capital gas gas station burning gas stations because of looking for profit</v>
      </c>
    </row>
    <row r="6196" spans="1:2" x14ac:dyDescent="0.2">
      <c r="A6196" s="1" t="s">
        <v>2278</v>
      </c>
      <c r="B6196" s="1" t="str">
        <f ca="1">IFERROR(__xludf.DUMFUNCTION("GOOGLETRANSLATE(A6370,""id"",""en"")"),"the consequences of investor gas station planting capital gas gas stations with gas stations because they are looking for")</f>
        <v>the consequences of investor gas station planting capital gas gas stations with gas stations because they are looking for</v>
      </c>
    </row>
    <row r="6197" spans="1:2" x14ac:dyDescent="0.2">
      <c r="A6197" s="1" t="s">
        <v>4982</v>
      </c>
      <c r="B6197" s="1" t="str">
        <f ca="1">IFERROR(__xludf.DUMFUNCTION("GOOGLETRANSLATE(A6371,""id"",""en"")"),"waiting for the news of the explosive gas station to open the   application")</f>
        <v>waiting for the news of the explosive gas station to open the   application</v>
      </c>
    </row>
    <row r="6198" spans="1:2" x14ac:dyDescent="0.2">
      <c r="A6198" s="1" t="s">
        <v>215</v>
      </c>
      <c r="B6198" s="1" t="str">
        <f ca="1">IFERROR(__xludf.DUMFUNCTION("GOOGLETRANSLATE(A6372,""id"",""en"")"),"SWALL SURPLY APPLICATION")</f>
        <v>SWALL SURPLY APPLICATION</v>
      </c>
    </row>
    <row r="6199" spans="1:2" x14ac:dyDescent="0.2">
      <c r="A6199" s="1" t="s">
        <v>855</v>
      </c>
      <c r="B6199" s="1" t="str">
        <f ca="1">IFERROR(__xludf.DUMFUNCTION("GOOGLETRANSLATE(A6373,""id"",""en"")"),"BUMN Hierarchy Good Orders in one place")</f>
        <v>BUMN Hierarchy Good Orders in one place</v>
      </c>
    </row>
    <row r="6200" spans="1:2" x14ac:dyDescent="0.2">
      <c r="A6200" s="1" t="s">
        <v>1021</v>
      </c>
      <c r="B6200" s="1" t="str">
        <f ca="1">IFERROR(__xludf.DUMFUNCTION("GOOGLETRANSLATE(A6374,""id"",""en"")"),"I after  crossed waiting for  stopping transportation")</f>
        <v>I after  crossed waiting for  stopping transportation</v>
      </c>
    </row>
    <row r="6201" spans="1:2" x14ac:dyDescent="0.2">
      <c r="A6201" s="1" t="s">
        <v>856</v>
      </c>
      <c r="B6201" s="1" t="str">
        <f ca="1">IFERROR(__xludf.DUMFUNCTION("GOOGLETRANSLATE(A6375,""id"",""en"")"),"try to be observant")</f>
        <v>try to be observant</v>
      </c>
    </row>
    <row r="6202" spans="1:2" x14ac:dyDescent="0.2">
      <c r="A6202" s="1" t="s">
        <v>2279</v>
      </c>
      <c r="B6202" s="1" t="str">
        <f ca="1">IFERROR(__xludf.DUMFUNCTION("GOOGLETRANSLATE(A6376,""id"",""en"")"),"Already from the reimbursement office by BBM it is difficult to  also adds to the print out notes")</f>
        <v>Already from the reimbursement office by BBM it is difficult to  also adds to the print out notes</v>
      </c>
    </row>
    <row r="6203" spans="1:2" x14ac:dyDescent="0.2">
      <c r="A6203" s="1" t="s">
        <v>217</v>
      </c>
      <c r="B6203" s="1" t="str">
        <f ca="1">IFERROR(__xludf.DUMFUNCTION("GOOGLETRANSLATE(A6377,""id"",""en"")"),"prohibit pee and task")</f>
        <v>prohibit pee and task</v>
      </c>
    </row>
    <row r="6204" spans="1:2" x14ac:dyDescent="0.2">
      <c r="A6204" s="1" t="s">
        <v>5748</v>
      </c>
      <c r="B6204" s="1" t="str">
        <f ca="1">IFERROR(__xludf.DUMFUNCTION("GOOGLETRANSLATE(A6378,""id"",""en"")"),"already gas like gin ashamed if you know for the application for   July")</f>
        <v>already gas like gin ashamed if you know for the application for   July</v>
      </c>
    </row>
    <row r="6205" spans="1:2" x14ac:dyDescent="0.2">
      <c r="A6205" s="1" t="s">
        <v>218</v>
      </c>
      <c r="B6205" s="1" t="str">
        <f ca="1">IFERROR(__xludf.DUMFUNCTION("GOOGLETRANSLATE(A6379,""id"",""en"")"),"good there is help")</f>
        <v>good there is help</v>
      </c>
    </row>
    <row r="6206" spans="1:2" x14ac:dyDescent="0.2">
      <c r="A6206" s="1" t="s">
        <v>857</v>
      </c>
      <c r="B6206" s="1" t="str">
        <f ca="1">IFERROR(__xludf.DUMFUNCTION("GOOGLETRANSLATE(A6380,""id"",""en"")"),"NCC")</f>
        <v>NCC</v>
      </c>
    </row>
    <row r="6207" spans="1:2" x14ac:dyDescent="0.2">
      <c r="A6207" s="1" t="s">
        <v>858</v>
      </c>
      <c r="B6207" s="1" t="str">
        <f ca="1">IFERROR(__xludf.DUMFUNCTION("GOOGLETRANSLATE(A6381,""id"",""en"")"),"nuwun sewu amp dangers on the hp gas station klw burn game")</f>
        <v>nuwun sewu amp dangers on the hp gas station klw burn game</v>
      </c>
    </row>
    <row r="6208" spans="1:2" x14ac:dyDescent="0.2">
      <c r="A6208" s="1" t="s">
        <v>859</v>
      </c>
      <c r="B6208" s="1" t="str">
        <f ca="1">IFERROR(__xludf.DUMFUNCTION("GOOGLETRANSLATE(A6382,""id"",""en"")"),"then the fate of the trading ecer is buying, how about the remote houses from")</f>
        <v>then the fate of the trading ecer is buying, how about the remote houses from</v>
      </c>
    </row>
    <row r="6209" spans="1:2" x14ac:dyDescent="0.2">
      <c r="A6209" s="1" t="s">
        <v>4984</v>
      </c>
      <c r="B6209" s="1" t="str">
        <f ca="1">IFERROR(__xludf.DUMFUNCTION("GOOGLETRANSLATE(A6383,""id"",""en"")"),"not explosive if open the  application")</f>
        <v>not explosive if open the  application</v>
      </c>
    </row>
    <row r="6210" spans="1:2" x14ac:dyDescent="0.2">
      <c r="A6210" s="1" t="s">
        <v>5749</v>
      </c>
      <c r="B6210" s="1" t="str">
        <f ca="1">IFERROR(__xludf.DUMFUNCTION("GOOGLETRANSLATE(A6384,""id"",""en"")"),"List of HP   List of Lulu Work Kendara Types")</f>
        <v>List of HP   List of Lulu Work Kendara Types</v>
      </c>
    </row>
    <row r="6211" spans="1:2" x14ac:dyDescent="0.2">
      <c r="A6211" s="1" t="s">
        <v>221</v>
      </c>
      <c r="B6211" s="1" t="str">
        <f ca="1">IFERROR(__xludf.DUMFUNCTION("GOOGLETRANSLATE(A6385,""id"",""en"")"),"Hahaha yes, please")</f>
        <v>Hahaha yes, please</v>
      </c>
    </row>
    <row r="6212" spans="1:2" x14ac:dyDescent="0.2">
      <c r="A6212" s="1" t="s">
        <v>860</v>
      </c>
      <c r="B6212" s="1" t="str">
        <f ca="1">IFERROR(__xludf.DUMFUNCTION("GOOGLETRANSLATE(A6386,""id"",""en"")"),"Buying BBM must use the application to buy cooking oil must use protecting protection")</f>
        <v>Buying BBM must use the application to buy cooking oil must use protecting protection</v>
      </c>
    </row>
    <row r="6213" spans="1:2" x14ac:dyDescent="0.2">
      <c r="A6213" s="1" t="s">
        <v>4986</v>
      </c>
      <c r="B6213" s="1" t="str">
        <f ca="1">IFERROR(__xludf.DUMFUNCTION("GOOGLETRANSLATE(A6387,""id"",""en"")"),"Drpd Install   Flat Retail of the Internet Diru")</f>
        <v>Drpd Install   Flat Retail of the Internet Diru</v>
      </c>
    </row>
    <row r="6214" spans="1:2" x14ac:dyDescent="0.2">
      <c r="A6214" s="1" t="s">
        <v>861</v>
      </c>
      <c r="B6214" s="1" t="str">
        <f ca="1">IFERROR(__xludf.DUMFUNCTION("GOOGLETRANSLATE(A6388,""id"",""en"")"),"confused if activated the cellphone then the gas station is melling")</f>
        <v>confused if activated the cellphone then the gas station is melling</v>
      </c>
    </row>
    <row r="6215" spans="1:2" x14ac:dyDescent="0.2">
      <c r="A6215" s="1" t="s">
        <v>2280</v>
      </c>
      <c r="B6215" s="1" t="str">
        <f ca="1">IFERROR(__xludf.DUMFUNCTION("GOOGLETRANSLATE(A6389,""id"",""en"")"),"if it is easy for the application to be for example, the Sen Sen via the  APK is available")</f>
        <v>if it is easy for the application to be for example, the Sen Sen via the  APK is available</v>
      </c>
    </row>
    <row r="6216" spans="1:2" x14ac:dyDescent="0.2">
      <c r="A6216" s="1" t="s">
        <v>1025</v>
      </c>
      <c r="B6216" s="1" t="str">
        <f ca="1">IFERROR(__xludf.DUMFUNCTION("GOOGLETRANSLATE(A6390,""id"",""en"")"),"The contents of 's gasoline are really queuing up and remembering rare gasoline solar Java")</f>
        <v>The contents of 's gasoline are really queuing up and remembering rare gasoline solar Java</v>
      </c>
    </row>
    <row r="6217" spans="1:2" x14ac:dyDescent="0.2">
      <c r="A6217" s="1" t="s">
        <v>1026</v>
      </c>
      <c r="B6217" s="1" t="str">
        <f ca="1">IFERROR(__xludf.DUMFUNCTION("GOOGLETRANSLATE(A6391,""id"",""en"")")," TQMBB Motorcycle Tires Difficult to Buy Solar already brought a Kasih Village Letter")</f>
        <v xml:space="preserve"> TQMBB Motorcycle Tires Difficult to Buy Solar already brought a Kasih Village Letter</v>
      </c>
    </row>
    <row r="6218" spans="1:2" x14ac:dyDescent="0.2">
      <c r="A6218" s="1" t="s">
        <v>862</v>
      </c>
      <c r="B6218" s="1" t="str">
        <f ca="1">IFERROR(__xludf.DUMFUNCTION("GOOGLETRANSLATE(A6392,""id"",""en"")"),"at least using sandals, thank you if the shoes are hit by a ticket, it can't be like that, bomb")</f>
        <v>at least using sandals, thank you if the shoes are hit by a ticket, it can't be like that, bomb</v>
      </c>
    </row>
    <row r="6219" spans="1:2" x14ac:dyDescent="0.2">
      <c r="A6219" s="1" t="s">
        <v>224</v>
      </c>
      <c r="B6219" s="1" t="str">
        <f ca="1">IFERROR(__xludf.DUMFUNCTION("GOOGLETRANSLATE(A6393,""id"",""en"")"),"funny")</f>
        <v>funny</v>
      </c>
    </row>
    <row r="6220" spans="1:2" x14ac:dyDescent="0.2">
      <c r="A6220" s="1" t="s">
        <v>2281</v>
      </c>
      <c r="B6220" s="1" t="str">
        <f ca="1">IFERROR(__xludf.DUMFUNCTION("GOOGLETRANSLATE(A6394,""id"",""en"")"),"the characteristics of a bankrupt business make a strange wise for example ")</f>
        <v xml:space="preserve">the characteristics of a bankrupt business make a strange wise for example </v>
      </c>
    </row>
    <row r="6221" spans="1:2" x14ac:dyDescent="0.2">
      <c r="A6221" s="1" t="s">
        <v>1002</v>
      </c>
      <c r="B6221" s="1" t="str">
        <f ca="1">IFERROR(__xludf.DUMFUNCTION("GOOGLETRANSLATE(A6395,""id"",""en"")"),"Price List of Pertalite Pertamax  Indonesia SPBU")</f>
        <v>Price List of Pertalite Pertamax  Indonesia SPBU</v>
      </c>
    </row>
    <row r="6222" spans="1:2" x14ac:dyDescent="0.2">
      <c r="A6222" s="1" t="s">
        <v>1002</v>
      </c>
      <c r="B6222" s="1" t="str">
        <f ca="1">IFERROR(__xludf.DUMFUNCTION("GOOGLETRANSLATE(A6396,""id"",""en"")"),"Price List of Pertalite Pertamax  Indonesia SPBU")</f>
        <v>Price List of Pertalite Pertamax  Indonesia SPBU</v>
      </c>
    </row>
    <row r="6223" spans="1:2" x14ac:dyDescent="0.2">
      <c r="A6223" s="1" t="s">
        <v>5750</v>
      </c>
      <c r="B6223" s="1" t="str">
        <f ca="1">IFERROR(__xludf.DUMFUNCTION("GOOGLETRANSLATE(A6397,""id"",""en"")"),"Don't be excited about the one who bought fuel via   paths")</f>
        <v>Don't be excited about the one who bought fuel via   paths</v>
      </c>
    </row>
    <row r="6224" spans="1:2" x14ac:dyDescent="0.2">
      <c r="A6224" s="1" t="s">
        <v>5751</v>
      </c>
      <c r="B6224" s="1" t="str">
        <f ca="1">IFERROR(__xludf.DUMFUNCTION("GOOGLETRANSLATE(A6398,""id"",""en"")"),"No sorry sis, it's worth roughly nhallo  ns ns")</f>
        <v>No sorry sis, it's worth roughly nhallo  ns ns</v>
      </c>
    </row>
    <row r="6225" spans="1:2" x14ac:dyDescent="0.2">
      <c r="A6225" s="1" t="s">
        <v>225</v>
      </c>
      <c r="B6225" s="1" t="str">
        <f ca="1">IFERROR(__xludf.DUMFUNCTION("GOOGLETRANSLATE(A6399,""id"",""en"")"),"That")</f>
        <v>That</v>
      </c>
    </row>
    <row r="6226" spans="1:2" x14ac:dyDescent="0.2">
      <c r="A6226" s="1" t="s">
        <v>226</v>
      </c>
      <c r="B6226" s="1" t="str">
        <f ca="1">IFERROR(__xludf.DUMFUNCTION("GOOGLETRANSLATE(A6400,""id"",""en"")"),"stupid brain set stupid")</f>
        <v>stupid brain set stupid</v>
      </c>
    </row>
    <row r="6227" spans="1:2" x14ac:dyDescent="0.2">
      <c r="A6227" s="1" t="s">
        <v>4990</v>
      </c>
      <c r="B6227" s="1" t="str">
        <f ca="1">IFERROR(__xludf.DUMFUNCTION("GOOGLETRANSLATE(A6401,""id"",""en"")"),"No regularly fill gasoline using  ")</f>
        <v xml:space="preserve">No regularly fill gasoline using  </v>
      </c>
    </row>
    <row r="6228" spans="1:2" x14ac:dyDescent="0.2">
      <c r="A6228" s="1" t="s">
        <v>227</v>
      </c>
      <c r="B6228" s="1" t="str">
        <f ca="1">IFERROR(__xludf.DUMFUNCTION("GOOGLETRANSLATE(A6402,""id"",""en"")"),"PAY PAKA LINK BUY THOUSANDS CARE CARE CARE CARE MILLION CAR")</f>
        <v>PAY PAKA LINK BUY THOUSANDS CARE CARE CARE CARE MILLION CAR</v>
      </c>
    </row>
    <row r="6229" spans="1:2" x14ac:dyDescent="0.2">
      <c r="A6229" s="1" t="s">
        <v>5752</v>
      </c>
      <c r="B6229" s="1" t="str">
        <f ca="1">IFERROR(__xludf.DUMFUNCTION("GOOGLETRANSLATE(A6403,""id"",""en"")"),"Kendara tour uses shoes, it's strange to buy BBM using  app. ")</f>
        <v xml:space="preserve">Kendara tour uses shoes, it's strange to buy BBM using  app. </v>
      </c>
    </row>
    <row r="6230" spans="1:2" x14ac:dyDescent="0.2">
      <c r="A6230" s="1" t="s">
        <v>2282</v>
      </c>
      <c r="B6230" s="1" t="str">
        <f ca="1">IFERROR(__xludf.DUMFUNCTION("GOOGLETRANSLATE(A6404,""id"",""en"")"),"This is  the trial road trial of the Right Salantan Salantan Bbm Salur")</f>
        <v>This is  the trial road trial of the Right Salantan Salantan Bbm Salur</v>
      </c>
    </row>
    <row r="6231" spans="1:2" x14ac:dyDescent="0.2">
      <c r="A6231" s="1" t="s">
        <v>1029</v>
      </c>
      <c r="B6231" s="1" t="str">
        <f ca="1">IFERROR(__xludf.DUMFUNCTION("GOOGLETRANSLATE(A6405,""id"",""en"")")," Fuel Stock Conditions")</f>
        <v xml:space="preserve"> Fuel Stock Conditions</v>
      </c>
    </row>
    <row r="6232" spans="1:2" x14ac:dyDescent="0.2">
      <c r="A6232" s="1" t="s">
        <v>863</v>
      </c>
      <c r="B6232" s="1" t="str">
        <f ca="1">IFERROR(__xludf.DUMFUNCTION("GOOGLETRANSLATE(A6406,""id"",""en"")"),"oalaahhhhhh unnie if you invite to eat with a sack of grooming in")</f>
        <v>oalaahhhhhh unnie if you invite to eat with a sack of grooming in</v>
      </c>
    </row>
    <row r="6233" spans="1:2" x14ac:dyDescent="0.2">
      <c r="A6233" s="1" t="s">
        <v>2283</v>
      </c>
      <c r="B6233" s="1" t="str">
        <f ca="1">IFERROR(__xludf.DUMFUNCTION("GOOGLETRANSLATE(A6407,""id"",""en"")"),"Fire Triangle Theory has not been sold by  Basic Knowledge like")</f>
        <v>Fire Triangle Theory has not been sold by  Basic Knowledge like</v>
      </c>
    </row>
    <row r="6234" spans="1:2" x14ac:dyDescent="0.2">
      <c r="A6234" s="1" t="s">
        <v>2284</v>
      </c>
      <c r="B6234" s="1" t="str">
        <f ca="1">IFERROR(__xludf.DUMFUNCTION("GOOGLETRANSLATE(A6408,""id"",""en"")"),"EDUSTAFF UNIV  Semangatt, I hope you will graduate")</f>
        <v>EDUSTAFF UNIV  Semangatt, I hope you will graduate</v>
      </c>
    </row>
    <row r="6235" spans="1:2" x14ac:dyDescent="0.2">
      <c r="A6235" s="1" t="s">
        <v>4992</v>
      </c>
      <c r="B6235" s="1" t="str">
        <f ca="1">IFERROR(__xludf.DUMFUNCTION("GOOGLETRANSLATE(A6409,""id"",""en"")"),"in Jakarta already POM Type Self Service Using  ")</f>
        <v xml:space="preserve">in Jakarta already POM Type Self Service Using  </v>
      </c>
    </row>
    <row r="6236" spans="1:2" x14ac:dyDescent="0.2">
      <c r="A6236" s="1" t="s">
        <v>864</v>
      </c>
      <c r="B6236" s="1" t="str">
        <f ca="1">IFERROR(__xludf.DUMFUNCTION("GOOGLETRANSLATE(A6410,""id"",""en"")"),"wisely make it difficult for people to buy it, need the point of buying pertalite pertalite har")</f>
        <v>wisely make it difficult for people to buy it, need the point of buying pertalite pertalite har</v>
      </c>
    </row>
    <row r="6237" spans="1:2" x14ac:dyDescent="0.2">
      <c r="A6237" s="1" t="s">
        <v>5753</v>
      </c>
      <c r="B6237" s="1" t="str">
        <f ca="1">IFERROR(__xludf.DUMFUNCTION("GOOGLETRANSLATE(A6411,""id"",""en"")"),"duh netizens are excited with  application in Sasara subsidized fuel")</f>
        <v>duh netizens are excited with  application in Sasara subsidized fuel</v>
      </c>
    </row>
    <row r="6238" spans="1:2" x14ac:dyDescent="0.2">
      <c r="A6238" s="1" t="s">
        <v>229</v>
      </c>
      <c r="B6238" s="1" t="str">
        <f ca="1">IFERROR(__xludf.DUMFUNCTION("GOOGLETRANSLATE(A6412,""id"",""en"")"),"Nyang makes the brain set up confused")</f>
        <v>Nyang makes the brain set up confused</v>
      </c>
    </row>
    <row r="6239" spans="1:2" x14ac:dyDescent="0.2">
      <c r="A6239" s="1" t="s">
        <v>1033</v>
      </c>
      <c r="B6239" s="1" t="str">
        <f ca="1">IFERROR(__xludf.DUMFUNCTION("GOOGLETRANSLATE(A6413,""id"",""en"")"),"selling market prices for your demonstration  loss of subsidies you're noisy")</f>
        <v>selling market prices for your demonstration  loss of subsidies you're noisy</v>
      </c>
    </row>
    <row r="6240" spans="1:2" x14ac:dyDescent="0.2">
      <c r="A6240" s="1" t="s">
        <v>865</v>
      </c>
      <c r="B6240" s="1" t="str">
        <f ca="1">IFERROR(__xludf.DUMFUNCTION("GOOGLETRANSLATE(A6414,""id"",""en"")"),"Institutional mental illness, but you don't take care")</f>
        <v>Institutional mental illness, but you don't take care</v>
      </c>
    </row>
    <row r="6241" spans="1:2" x14ac:dyDescent="0.2">
      <c r="A6241" s="1" t="s">
        <v>2285</v>
      </c>
      <c r="B6241" s="1" t="str">
        <f ca="1">IFERROR(__xludf.DUMFUNCTION("GOOGLETRANSLATE(A6415,""id"",""en"")")," Patra Niaga Trial Servants Buy Pertalite Solar to Rebut")</f>
        <v xml:space="preserve"> Patra Niaga Trial Servants Buy Pertalite Solar to Rebut</v>
      </c>
    </row>
    <row r="6242" spans="1:2" x14ac:dyDescent="0.2">
      <c r="A6242" s="1" t="s">
        <v>1035</v>
      </c>
      <c r="B6242" s="1" t="str">
        <f ca="1">IFERROR(__xludf.DUMFUNCTION("GOOGLETRANSLATE(A6416,""id"",""en"")"),"Ahok adopted Commissioner  Alumni Itching Klau Ahok President Modiar")</f>
        <v>Ahok adopted Commissioner  Alumni Itching Klau Ahok President Modiar</v>
      </c>
    </row>
    <row r="6243" spans="1:2" x14ac:dyDescent="0.2">
      <c r="A6243" s="1" t="s">
        <v>231</v>
      </c>
      <c r="B6243" s="1" t="str">
        <f ca="1">IFERROR(__xludf.DUMFUNCTION("GOOGLETRANSLATE(A6417,""id"",""en"")"),"Set the confused one")</f>
        <v>Set the confused one</v>
      </c>
    </row>
    <row r="6244" spans="1:2" x14ac:dyDescent="0.2">
      <c r="A6244" s="1" t="s">
        <v>1036</v>
      </c>
      <c r="B6244" s="1" t="str">
        <f ca="1">IFERROR(__xludf.DUMFUNCTION("GOOGLETRANSLATE(A6418,""id"",""en"")"),"Discuss Denpasar Police Chief of PT  Branch Denpasar Denpasar")</f>
        <v>Discuss Denpasar Police Chief of PT  Branch Denpasar Denpasar</v>
      </c>
    </row>
    <row r="6245" spans="1:2" x14ac:dyDescent="0.2">
      <c r="A6245" s="1" t="s">
        <v>866</v>
      </c>
      <c r="B6245" s="1" t="str">
        <f ca="1">IFERROR(__xludf.DUMFUNCTION("GOOGLETRANSLATE(A6419,""id"",""en"")"),"Smart Action from Counter Measurer's commands that are many people")</f>
        <v>Smart Action from Counter Measurer's commands that are many people</v>
      </c>
    </row>
    <row r="6246" spans="1:2" x14ac:dyDescent="0.2">
      <c r="A6246" s="1" t="s">
        <v>5754</v>
      </c>
      <c r="B6246" s="1" t="str">
        <f ca="1">IFERROR(__xludf.DUMFUNCTION("GOOGLETRANSLATE(A6420,""id"",""en"")")," Terms of Buying Pertalite Solar Buru List  Application BBMSUBSIDI")</f>
        <v xml:space="preserve"> Terms of Buying Pertalite Solar Buru List  Application BBMSUBSIDI</v>
      </c>
    </row>
    <row r="6247" spans="1:2" x14ac:dyDescent="0.2">
      <c r="A6247" s="1" t="s">
        <v>1038</v>
      </c>
      <c r="B6247" s="1" t="str">
        <f ca="1">IFERROR(__xludf.DUMFUNCTION("GOOGLETRANSLATE(A6421,""id"",""en"")"),"Hello Managing Director of , please balance only Rp")</f>
        <v>Hello Managing Director of , please balance only Rp</v>
      </c>
    </row>
    <row r="6248" spans="1:2" x14ac:dyDescent="0.2">
      <c r="A6248" s="1" t="s">
        <v>1039</v>
      </c>
      <c r="B6248" s="1" t="str">
        <f ca="1">IFERROR(__xludf.DUMFUNCTION("GOOGLETRANSLATE(A6422,""id"",""en"")")," Forbids Stupid Hp")</f>
        <v xml:space="preserve"> Forbids Stupid Hp</v>
      </c>
    </row>
    <row r="6249" spans="1:2" x14ac:dyDescent="0.2">
      <c r="A6249" s="1" t="s">
        <v>817</v>
      </c>
      <c r="B6249" s="1" t="str">
        <f ca="1">IFERROR(__xludf.DUMFUNCTION("GOOGLETRANSLATE(A6423,""id"",""en"")"),"Wow, so  gas station oprator is not dead please set")</f>
        <v>Wow, so  gas station oprator is not dead please set</v>
      </c>
    </row>
    <row r="6250" spans="1:2" x14ac:dyDescent="0.2">
      <c r="A6250" s="1" t="s">
        <v>1041</v>
      </c>
      <c r="B6250" s="1" t="str">
        <f ca="1">IFERROR(__xludf.DUMFUNCTION("GOOGLETRANSLATE(A6424,""id"",""en"")")," Patra Niaga Sub Holding Commercial AMP Trading PT  Persero Trial Saying PE")</f>
        <v xml:space="preserve"> Patra Niaga Sub Holding Commercial AMP Trading PT  Persero Trial Saying PE</v>
      </c>
    </row>
    <row r="6251" spans="1:2" x14ac:dyDescent="0.2">
      <c r="A6251" s="1" t="s">
        <v>233</v>
      </c>
      <c r="B6251" s="1" t="str">
        <f ca="1">IFERROR(__xludf.DUMFUNCTION("GOOGLETRANSLATE(A6425,""id"",""en"")"),"Wakakakakkkk is right")</f>
        <v>Wakakakakkkk is right</v>
      </c>
    </row>
    <row r="6252" spans="1:2" x14ac:dyDescent="0.2">
      <c r="A6252" s="1" t="s">
        <v>2286</v>
      </c>
      <c r="B6252" s="1" t="str">
        <f ca="1">IFERROR(__xludf.DUMFUNCTION("GOOGLETRANSLATE(A6426,""id"",""en"")")," prohibits the active Coustumer HP Pasuk SPBU Ha")</f>
        <v xml:space="preserve"> prohibits the active Coustumer HP Pasuk SPBU Ha</v>
      </c>
    </row>
    <row r="6253" spans="1:2" x14ac:dyDescent="0.2">
      <c r="A6253" s="1" t="s">
        <v>867</v>
      </c>
      <c r="B6253" s="1" t="str">
        <f ca="1">IFERROR(__xludf.DUMFUNCTION("GOOGLETRANSLATE(A6427,""id"",""en"")"),"the original basic logic is really not thinking about the cc minister too")</f>
        <v>the original basic logic is really not thinking about the cc minister too</v>
      </c>
    </row>
    <row r="6254" spans="1:2" x14ac:dyDescent="0.2">
      <c r="A6254" s="1" t="s">
        <v>2287</v>
      </c>
      <c r="B6254" s="1" t="str">
        <f ca="1">IFERROR(__xludf.DUMFUNCTION("GOOGLETRANSLATE(A6428,""id"",""en"")"),"Negeri Motor Fill in Water Road Nbiar Not Feeling  Nyukan Prayer")</f>
        <v>Negeri Motor Fill in Water Road Nbiar Not Feeling  Nyukan Prayer</v>
      </c>
    </row>
    <row r="6255" spans="1:2" x14ac:dyDescent="0.2">
      <c r="A6255" s="1" t="s">
        <v>868</v>
      </c>
      <c r="B6255" s="1" t="str">
        <f ca="1">IFERROR(__xludf.DUMFUNCTION("GOOGLETRANSLATE(A6429,""id"",""en"")"),"the land of smart people just want to laugh, ha ha ha cu")</f>
        <v>the land of smart people just want to laugh, ha ha ha cu</v>
      </c>
    </row>
    <row r="6256" spans="1:2" x14ac:dyDescent="0.2">
      <c r="A6256" s="1" t="s">
        <v>1044</v>
      </c>
      <c r="B6256" s="1" t="str">
        <f ca="1">IFERROR(__xludf.DUMFUNCTION("GOOGLETRANSLATE(A6430,""id"",""en"")"),"HP Min so that I install AFK , buy Pertalait already full of memory")</f>
        <v>HP Min so that I install AFK , buy Pertalait already full of memory</v>
      </c>
    </row>
    <row r="6257" spans="1:2" x14ac:dyDescent="0.2">
      <c r="A6257" s="1" t="s">
        <v>2288</v>
      </c>
      <c r="B6257" s="1" t="str">
        <f ca="1">IFERROR(__xludf.DUMFUNCTION("GOOGLETRANSLATE(A6431,""id"",""en"")"),"PT  July Trials Salur Pertalite Solar for Undeed Rights")</f>
        <v>PT  July Trials Salur Pertalite Solar for Undeed Rights</v>
      </c>
    </row>
    <row r="6258" spans="1:2" x14ac:dyDescent="0.2">
      <c r="A6258" s="1" t="s">
        <v>4997</v>
      </c>
      <c r="B6258" s="1" t="str">
        <f ca="1">IFERROR(__xludf.DUMFUNCTION("GOOGLETRANSLATE(A6432,""id"",""en"")")," ")</f>
        <v xml:space="preserve"> </v>
      </c>
    </row>
    <row r="6259" spans="1:2" x14ac:dyDescent="0.2">
      <c r="A6259" s="1" t="s">
        <v>5755</v>
      </c>
      <c r="B6259" s="1" t="str">
        <f ca="1">IFERROR(__xludf.DUMFUNCTION("GOOGLETRANSLATE(A6433,""id"",""en"")"),"Buy Bbm Make Apk  nlah that apk sticking a forehead, yes, ncuman endonesa nyang ser")</f>
        <v>Buy Bbm Make Apk  nlah that apk sticking a forehead, yes, ncuman endonesa nyang ser</v>
      </c>
    </row>
    <row r="6260" spans="1:2" x14ac:dyDescent="0.2">
      <c r="A6260" s="1" t="s">
        <v>869</v>
      </c>
      <c r="B6260" s="1" t="str">
        <f ca="1">IFERROR(__xludf.DUMFUNCTION("GOOGLETRANSLATE(A6434,""id"",""en"")"),"Where do you make you set it up if you buy BBM using the application, it's not too keen, BA")</f>
        <v>Where do you make you set it up if you buy BBM using the application, it's not too keen, BA</v>
      </c>
    </row>
    <row r="6261" spans="1:2" x14ac:dyDescent="0.2">
      <c r="A6261" s="1" t="s">
        <v>5756</v>
      </c>
      <c r="B6261" s="1" t="str">
        <f ca="1">IFERROR(__xludf.DUMFUNCTION("GOOGLETRANSLATE(A6435,""id"",""en"")")," Corporate Secretary Patra Niaga Irto Ginting Community Mandatory belonging to the  application")</f>
        <v xml:space="preserve"> Corporate Secretary Patra Niaga Irto Ginting Community Mandatory belonging to the  application</v>
      </c>
    </row>
    <row r="6262" spans="1:2" x14ac:dyDescent="0.2">
      <c r="A6262" s="1" t="s">
        <v>4986</v>
      </c>
      <c r="B6262" s="1" t="str">
        <f ca="1">IFERROR(__xludf.DUMFUNCTION("GOOGLETRANSLATE(A6436,""id"",""en"")"),"Drpd Install   Flat Retail of the Internet Diru")</f>
        <v>Drpd Install   Flat Retail of the Internet Diru</v>
      </c>
    </row>
    <row r="6263" spans="1:2" x14ac:dyDescent="0.2">
      <c r="A6263" s="1" t="s">
        <v>5757</v>
      </c>
      <c r="B6263" s="1" t="str">
        <f ca="1">IFERROR(__xludf.DUMFUNCTION("GOOGLETRANSLATE(A6437,""id"",""en"")"),"Back Pro and Cons   Naku who used to use the app because MLS brought cash be like")</f>
        <v>Back Pro and Cons   Naku who used to use the app because MLS brought cash be like</v>
      </c>
    </row>
    <row r="6264" spans="1:2" x14ac:dyDescent="0.2">
      <c r="A6264" s="1" t="s">
        <v>870</v>
      </c>
      <c r="B6264" s="1" t="str">
        <f ca="1">IFERROR(__xludf.DUMFUNCTION("GOOGLETRANSLATE(A6438,""id"",""en"")"),"strange Indonesia take care of the stupid people playing mobile alias open the application")</f>
        <v>strange Indonesia take care of the stupid people playing mobile alias open the application</v>
      </c>
    </row>
    <row r="6265" spans="1:2" x14ac:dyDescent="0.2">
      <c r="A6265" s="1" t="s">
        <v>237</v>
      </c>
      <c r="B6265" s="1" t="str">
        <f ca="1">IFERROR(__xludf.DUMFUNCTION("GOOGLETRANSLATE(A6439,""id"",""en"")"),"woww cool craftsman")</f>
        <v>woww cool craftsman</v>
      </c>
    </row>
    <row r="6266" spans="1:2" x14ac:dyDescent="0.2">
      <c r="A6266" s="1" t="s">
        <v>5001</v>
      </c>
      <c r="B6266" s="1" t="str">
        <f ca="1">IFERROR(__xludf.DUMFUNCTION("GOOGLETRANSLATE(A6440,""id"",""en"")"),"How to Download   Pertamini")</f>
        <v>How to Download   Pertamini</v>
      </c>
    </row>
    <row r="6267" spans="1:2" x14ac:dyDescent="0.2">
      <c r="A6267" s="1" t="s">
        <v>871</v>
      </c>
      <c r="B6267" s="1" t="str">
        <f ca="1">IFERROR(__xludf.DUMFUNCTION("GOOGLETRANSLATE(A6441,""id"",""en"")"),"The news that is circulated buy the wrong BBM using the application not to play mobile phone nini game")</f>
        <v>The news that is circulated buy the wrong BBM using the application not to play mobile phone nini game</v>
      </c>
    </row>
    <row r="6268" spans="1:2" x14ac:dyDescent="0.2">
      <c r="A6268" s="1" t="s">
        <v>5002</v>
      </c>
      <c r="B6268" s="1" t="str">
        <f ca="1">IFERROR(__xludf.DUMFUNCTION("GOOGLETRANSLATE(A6442,""id"",""en"")")," account fell")</f>
        <v xml:space="preserve"> account fell</v>
      </c>
    </row>
    <row r="6269" spans="1:2" x14ac:dyDescent="0.2">
      <c r="A6269" s="1" t="s">
        <v>872</v>
      </c>
      <c r="B6269" s="1" t="str">
        <f ca="1">IFERROR(__xludf.DUMFUNCTION("GOOGLETRANSLATE(A6443,""id"",""en"")"),"yes use the bus cook")</f>
        <v>yes use the bus cook</v>
      </c>
    </row>
    <row r="6270" spans="1:2" x14ac:dyDescent="0.2">
      <c r="A6270" s="1" t="s">
        <v>5758</v>
      </c>
      <c r="B6270" s="1" t="str">
        <f ca="1">IFERROR(__xludf.DUMFUNCTION("GOOGLETRANSLATE(A6444,""id"",""en"")"),"Buy Pertalite using the  SPBU application, prohibit the cellphone, try to respond")</f>
        <v>Buy Pertalite using the  SPBU application, prohibit the cellphone, try to respond</v>
      </c>
    </row>
    <row r="6271" spans="1:2" x14ac:dyDescent="0.2">
      <c r="A6271" s="1" t="s">
        <v>2289</v>
      </c>
      <c r="B6271" s="1" t="str">
        <f ca="1">IFERROR(__xludf.DUMFUNCTION("GOOGLETRANSLATE(A6445,""id"",""en"")"),"Alam Sutera  gas station that is the concept of self service pays to fill up")</f>
        <v>Alam Sutera  gas station that is the concept of self service pays to fill up</v>
      </c>
    </row>
    <row r="6272" spans="1:2" x14ac:dyDescent="0.2">
      <c r="A6272" s="1" t="s">
        <v>2290</v>
      </c>
      <c r="B6272" s="1" t="str">
        <f ca="1">IFERROR(__xludf.DUMFUNCTION("GOOGLETRANSLATE(A6446,""id"",""en"")"),"Definitely  both the product trial hook is developed")</f>
        <v>Definitely  both the product trial hook is developed</v>
      </c>
    </row>
    <row r="6273" spans="1:2" x14ac:dyDescent="0.2">
      <c r="A6273" s="1" t="s">
        <v>5004</v>
      </c>
      <c r="B6273" s="1" t="str">
        <f ca="1">IFERROR(__xludf.DUMFUNCTION("GOOGLETRANSLATE(A6447,""id"",""en"")"),"pay using   yes qr pay code")</f>
        <v>pay using   yes qr pay code</v>
      </c>
    </row>
    <row r="6274" spans="1:2" x14ac:dyDescent="0.2">
      <c r="A6274" s="1" t="s">
        <v>1050</v>
      </c>
      <c r="B6274" s="1" t="str">
        <f ca="1">IFERROR(__xludf.DUMFUNCTION("GOOGLETRANSLATE(A6448,""id"",""en"")"),"PRANK  LOOK HP SPBU WKWKWK")</f>
        <v>PRANK  LOOK HP SPBU WKWKWK</v>
      </c>
    </row>
    <row r="6275" spans="1:2" x14ac:dyDescent="0.2">
      <c r="A6275" s="1" t="s">
        <v>2291</v>
      </c>
      <c r="B6275" s="1" t="str">
        <f ca="1">IFERROR(__xludf.DUMFUNCTION("GOOGLETRANSLATE(A6449,""id"",""en"")"),"Yesterday I used apps not served you know and some  gas stations using the app")</f>
        <v>Yesterday I used apps not served you know and some  gas stations using the app</v>
      </c>
    </row>
    <row r="6276" spans="1:2" x14ac:dyDescent="0.2">
      <c r="A6276" s="1" t="s">
        <v>2292</v>
      </c>
      <c r="B6276" s="1" t="str">
        <f ca="1">IFERROR(__xludf.DUMFUNCTION("GOOGLETRANSLATE(A6450,""id"",""en"")")," Indonesia Regency is not angkot if not bear")</f>
        <v xml:space="preserve"> Indonesia Regency is not angkot if not bear</v>
      </c>
    </row>
    <row r="6277" spans="1:2" x14ac:dyDescent="0.2">
      <c r="A6277" s="1" t="s">
        <v>5005</v>
      </c>
      <c r="B6277" s="1" t="str">
        <f ca="1">IFERROR(__xludf.DUMFUNCTION("GOOGLETRANSLATE(A6451,""id"",""en"")"),"Make Pertalite is right to download the   Yee application")</f>
        <v>Make Pertalite is right to download the   Yee application</v>
      </c>
    </row>
    <row r="6278" spans="1:2" x14ac:dyDescent="0.2">
      <c r="A6278" s="1" t="s">
        <v>5006</v>
      </c>
      <c r="B6278" s="1" t="str">
        <f ca="1">IFERROR(__xludf.DUMFUNCTION("GOOGLETRANSLATE(A6452,""id"",""en"")"),"Jember SPBU in the city area can't use   wekekekekekek")</f>
        <v>Jember SPBU in the city area can't use   wekekekekekek</v>
      </c>
    </row>
    <row r="6279" spans="1:2" x14ac:dyDescent="0.2">
      <c r="A6279" s="1" t="s">
        <v>5759</v>
      </c>
      <c r="B6279" s="1" t="str">
        <f ca="1">IFERROR(__xludf.DUMFUNCTION("GOOGLETRANSLATE(A6453,""id"",""en"")"),"  Pertamax Bright Gas Giveaway rjbt")</f>
        <v xml:space="preserve">  Pertamax Bright Gas Giveaway rjbt</v>
      </c>
    </row>
    <row r="6280" spans="1:2" x14ac:dyDescent="0.2">
      <c r="A6280" s="1" t="s">
        <v>2293</v>
      </c>
      <c r="B6280" s="1" t="str">
        <f ca="1">IFERROR(__xludf.DUMFUNCTION("GOOGLETRANSLATE(A6454,""id"",""en"")"),"Bang, it's better if the MPR DPR MPR has been , it makes it reckless")</f>
        <v>Bang, it's better if the MPR DPR MPR has been , it makes it reckless</v>
      </c>
    </row>
    <row r="6281" spans="1:2" x14ac:dyDescent="0.2">
      <c r="A6281" s="1" t="s">
        <v>5731</v>
      </c>
      <c r="B6281" s="1" t="str">
        <f ca="1">IFERROR(__xludf.DUMFUNCTION("GOOGLETRANSLATE(A6455,""id"",""en"")"),"tight buying fuel Pertalite Solar  Buy BBM must use pertamin")</f>
        <v>tight buying fuel Pertalite Solar  Buy BBM must use pertamin</v>
      </c>
    </row>
    <row r="6282" spans="1:2" x14ac:dyDescent="0.2">
      <c r="A6282" s="1" t="s">
        <v>5760</v>
      </c>
      <c r="B6282" s="1" t="str">
        <f ca="1">IFERROR(__xludf.DUMFUNCTION("GOOGLETRANSLATE(A6456,""id"",""en"")"),"I don't know, I don't use  ,  loses because I have made an apps")</f>
        <v>I don't know, I don't use  ,  loses because I have made an apps</v>
      </c>
    </row>
    <row r="6283" spans="1:2" x14ac:dyDescent="0.2">
      <c r="A6283" s="1" t="s">
        <v>1055</v>
      </c>
      <c r="B6283" s="1" t="str">
        <f ca="1">IFERROR(__xludf.DUMFUNCTION("GOOGLETRANSLATE(A6457,""id"",""en"")"),"No wonder the Len btw is reog ")</f>
        <v xml:space="preserve">No wonder the Len btw is reog </v>
      </c>
    </row>
    <row r="6284" spans="1:2" x14ac:dyDescent="0.2">
      <c r="A6284" s="1" t="s">
        <v>2294</v>
      </c>
      <c r="B6284" s="1" t="str">
        <f ca="1">IFERROR(__xludf.DUMFUNCTION("GOOGLETRANSLATE(A6458,""id"",""en"")"),"please general atr arrest to the person of PT 's employee who brought")</f>
        <v>please general atr arrest to the person of PT 's employee who brought</v>
      </c>
    </row>
    <row r="6285" spans="1:2" x14ac:dyDescent="0.2">
      <c r="A6285" s="1" t="s">
        <v>873</v>
      </c>
      <c r="B6285" s="1" t="str">
        <f ca="1">IFERROR(__xludf.DUMFUNCTION("GOOGLETRANSLATE(A6459,""id"",""en"")"),"sorry sis, who works the gas station to pay using the application, just scan it or not")</f>
        <v>sorry sis, who works the gas station to pay using the application, just scan it or not</v>
      </c>
    </row>
    <row r="6286" spans="1:2" x14ac:dyDescent="0.2">
      <c r="A6286" s="1" t="s">
        <v>874</v>
      </c>
      <c r="B6286" s="1" t="str">
        <f ca="1">IFERROR(__xludf.DUMFUNCTION("GOOGLETRANSLATE(A6460,""id"",""en"")"),"intelligent analysis is the public lying")</f>
        <v>intelligent analysis is the public lying</v>
      </c>
    </row>
    <row r="6287" spans="1:2" x14ac:dyDescent="0.2">
      <c r="A6287" s="1" t="s">
        <v>5010</v>
      </c>
      <c r="B6287" s="1" t="str">
        <f ca="1">IFERROR(__xludf.DUMFUNCTION("GOOGLETRANSLATE(A6461,""id"",""en"")"),"Hello, hold the cellphone in front of the pump, the contents, don't leave the cellphone, open ")</f>
        <v xml:space="preserve">Hello, hold the cellphone in front of the pump, the contents, don't leave the cellphone, open </v>
      </c>
    </row>
    <row r="6288" spans="1:2" x14ac:dyDescent="0.2">
      <c r="A6288" s="1" t="s">
        <v>242</v>
      </c>
      <c r="B6288" s="1" t="str">
        <f ca="1">IFERROR(__xludf.DUMFUNCTION("GOOGLETRANSLATE(A6462,""id"",""en"")"),"if playing a cellphone isn't it")</f>
        <v>if playing a cellphone isn't it</v>
      </c>
    </row>
    <row r="6289" spans="1:2" x14ac:dyDescent="0.2">
      <c r="A6289" s="1" t="s">
        <v>2295</v>
      </c>
      <c r="B6289" s="1" t="str">
        <f ca="1">IFERROR(__xludf.DUMFUNCTION("GOOGLETRANSLATE(A6463,""id"",""en"")"),"Payment just use the link to use the tank using  apps, you will be a bent")</f>
        <v>Payment just use the link to use the tank using  apps, you will be a bent</v>
      </c>
    </row>
    <row r="6290" spans="1:2" x14ac:dyDescent="0.2">
      <c r="A6290" s="1" t="s">
        <v>875</v>
      </c>
      <c r="B6290" s="1" t="str">
        <f ca="1">IFERROR(__xludf.DUMFUNCTION("GOOGLETRANSLATE(A6464,""id"",""en"")"),"if pertalite pertamax kek mas, the october gasoline is different")</f>
        <v>if pertalite pertamax kek mas, the october gasoline is different</v>
      </c>
    </row>
    <row r="6291" spans="1:2" x14ac:dyDescent="0.2">
      <c r="A6291" s="1" t="s">
        <v>2296</v>
      </c>
      <c r="B6291" s="1" t="str">
        <f ca="1">IFERROR(__xludf.DUMFUNCTION("GOOGLETRANSLATE(A6465,""id"",""en"")"),"Ahok adopts Commissioner  Alumni Itchy Ga")</f>
        <v>Ahok adopts Commissioner  Alumni Itchy Ga</v>
      </c>
    </row>
    <row r="6292" spans="1:2" x14ac:dyDescent="0.2">
      <c r="A6292" s="1" t="s">
        <v>2297</v>
      </c>
      <c r="B6292" s="1" t="str">
        <f ca="1">IFERROR(__xludf.DUMFUNCTION("GOOGLETRANSLATE(A6466,""id"",""en"")"),"'s efforts that I don't bring jerry cans buy fuel already results")</f>
        <v>'s efforts that I don't bring jerry cans buy fuel already results</v>
      </c>
    </row>
    <row r="6293" spans="1:2" x14ac:dyDescent="0.2">
      <c r="A6293" s="1" t="s">
        <v>876</v>
      </c>
      <c r="B6293" s="1" t="str">
        <f ca="1">IFERROR(__xludf.DUMFUNCTION("GOOGLETRANSLATE(A6467,""id"",""en"")"),"Kepul tuh who arrested knowing the one who didn't catch know what was not ket")</f>
        <v>Kepul tuh who arrested knowing the one who didn't catch know what was not ket</v>
      </c>
    </row>
    <row r="6294" spans="1:2" x14ac:dyDescent="0.2">
      <c r="A6294" s="1" t="s">
        <v>243</v>
      </c>
      <c r="B6294" s="1" t="str">
        <f ca="1">IFERROR(__xludf.DUMFUNCTION("GOOGLETRANSLATE(A6468,""id"",""en"")"),"Wait for Mbah Btw Jokowi Layat Europe")</f>
        <v>Wait for Mbah Btw Jokowi Layat Europe</v>
      </c>
    </row>
    <row r="6295" spans="1:2" x14ac:dyDescent="0.2">
      <c r="A6295" s="1" t="s">
        <v>5761</v>
      </c>
      <c r="B6295" s="1" t="str">
        <f ca="1">IFERROR(__xludf.DUMFUNCTION("GOOGLETRANSLATE(A6469,""id"",""en"")"),"Pay using  Shell Cashless using Gopay Nmas to read NHTTPS")</f>
        <v>Pay using  Shell Cashless using Gopay Nmas to read NHTTPS</v>
      </c>
    </row>
    <row r="6296" spans="1:2" x14ac:dyDescent="0.2">
      <c r="A6296" s="1" t="s">
        <v>2298</v>
      </c>
      <c r="B6296" s="1" t="str">
        <f ca="1">IFERROR(__xludf.DUMFUNCTION("GOOGLETRANSLATE(A6470,""id"",""en"")"),"General ATR Arrests unscrupulous employees of PT  Legal Asset DA")</f>
        <v>General ATR Arrests unscrupulous employees of PT  Legal Asset DA</v>
      </c>
    </row>
    <row r="6297" spans="1:2" x14ac:dyDescent="0.2">
      <c r="A6297" s="1" t="s">
        <v>877</v>
      </c>
      <c r="B6297" s="1" t="str">
        <f ca="1">IFERROR(__xludf.DUMFUNCTION("GOOGLETRANSLATE(A6471,""id"",""en"")"),"people are across the regime to buy migor must use the KTP of the Protection Care Application for Buying BBM")</f>
        <v>people are across the regime to buy migor must use the KTP of the Protection Care Application for Buying BBM</v>
      </c>
    </row>
    <row r="6298" spans="1:2" x14ac:dyDescent="0.2">
      <c r="A6298" s="1" t="s">
        <v>2299</v>
      </c>
      <c r="B6298" s="1" t="str">
        <f ca="1">IFERROR(__xludf.DUMFUNCTION("GOOGLETRANSLATE(A6472,""id"",""en"")"),"Last night discussed  Mulu Nang Random people")</f>
        <v>Last night discussed  Mulu Nang Random people</v>
      </c>
    </row>
    <row r="6299" spans="1:2" x14ac:dyDescent="0.2">
      <c r="A6299" s="1" t="s">
        <v>878</v>
      </c>
      <c r="B6299" s="1" t="str">
        <f ca="1">IFERROR(__xludf.DUMFUNCTION("GOOGLETRANSLATE(A6473,""id"",""en"")"),"wkwk, right?")</f>
        <v>wkwk, right?</v>
      </c>
    </row>
    <row r="6300" spans="1:2" x14ac:dyDescent="0.2">
      <c r="A6300" s="1" t="s">
        <v>246</v>
      </c>
      <c r="B6300" s="1" t="str">
        <f ca="1">IFERROR(__xludf.DUMFUNCTION("GOOGLETRANSLATE(A6474,""id"",""en"")"),"Self Service Lip Service")</f>
        <v>Self Service Lip Service</v>
      </c>
    </row>
    <row r="6301" spans="1:2" x14ac:dyDescent="0.2">
      <c r="A6301" s="1" t="s">
        <v>879</v>
      </c>
      <c r="B6301" s="1" t="str">
        <f ca="1">IFERROR(__xludf.DUMFUNCTION("GOOGLETRANSLATE(A6475,""id"",""en"")"),"Luckily you are a citizen of Singapore Mat there to be a logical thinking")</f>
        <v>Luckily you are a citizen of Singapore Mat there to be a logical thinking</v>
      </c>
    </row>
    <row r="6302" spans="1:2" x14ac:dyDescent="0.2">
      <c r="A6302" s="1" t="s">
        <v>5012</v>
      </c>
      <c r="B6302" s="1" t="str">
        <f ca="1">IFERROR(__xludf.DUMFUNCTION("GOOGLETRANSLATE(A6476,""id"",""en"")"),"Seriously Buy Pertalite Sen   Application")</f>
        <v>Seriously Buy Pertalite Sen   Application</v>
      </c>
    </row>
    <row r="6303" spans="1:2" x14ac:dyDescent="0.2">
      <c r="A6303" s="1" t="s">
        <v>5762</v>
      </c>
      <c r="B6303" s="1" t="str">
        <f ca="1">IFERROR(__xludf.DUMFUNCTION("GOOGLETRANSLATE(A6477,""id"",""en"")"),"Pom Written Forbid Meng HP Application Ya Petralite Using the  Tam Application")</f>
        <v>Pom Written Forbid Meng HP Application Ya Petralite Using the  Tam Application</v>
      </c>
    </row>
    <row r="6304" spans="1:2" x14ac:dyDescent="0.2">
      <c r="A6304" s="1" t="s">
        <v>2300</v>
      </c>
      <c r="B6304" s="1" t="str">
        <f ca="1">IFERROR(__xludf.DUMFUNCTION("GOOGLETRANSLATE(A6478,""id"",""en"")"),"General ATR ATR Land with an Employee Employee PT  Center for Concrete Fence BE")</f>
        <v>General ATR ATR Land with an Employee Employee PT  Center for Concrete Fence BE</v>
      </c>
    </row>
    <row r="6305" spans="1:2" x14ac:dyDescent="0.2">
      <c r="A6305" s="1" t="s">
        <v>1066</v>
      </c>
      <c r="B6305" s="1" t="str">
        <f ca="1">IFERROR(__xludf.DUMFUNCTION("GOOGLETRANSLATE(A6479,""id"",""en"")")," Loss Rp. Trillun Petronas profit Rp.")</f>
        <v xml:space="preserve"> Loss Rp. Trillun Petronas profit Rp.</v>
      </c>
    </row>
    <row r="6306" spans="1:2" x14ac:dyDescent="0.2">
      <c r="A6306" s="1" t="s">
        <v>5763</v>
      </c>
      <c r="B6306" s="1" t="str">
        <f ca="1">IFERROR(__xludf.DUMFUNCTION("GOOGLETRANSLATE(A6480,""id"",""en"")"),"the heart to the village regime of the village does not know the app   app cares protected")</f>
        <v>the heart to the village regime of the village does not know the app   app cares protected</v>
      </c>
    </row>
    <row r="6307" spans="1:2" x14ac:dyDescent="0.2">
      <c r="A6307" s="1" t="s">
        <v>2115</v>
      </c>
      <c r="B6307" s="1" t="str">
        <f ca="1">IFERROR(__xludf.DUMFUNCTION("GOOGLETRANSLATE(A6481,""id"",""en"")")," Patra Niaga Sub Holding Commercial AMP Trading PT  Persero Trial Servants")</f>
        <v xml:space="preserve"> Patra Niaga Sub Holding Commercial AMP Trading PT  Persero Trial Servants</v>
      </c>
    </row>
    <row r="6308" spans="1:2" x14ac:dyDescent="0.2">
      <c r="A6308" s="1" t="s">
        <v>2301</v>
      </c>
      <c r="B6308" s="1" t="str">
        <f ca="1">IFERROR(__xludf.DUMFUNCTION("GOOGLETRANSLATE(A6482,""id"",""en"")"),"Pantesan  Teu Forward Beak Corruption Hayang Neang Untung Tinu Application Meuli Nanaon Ge Ku Money")</f>
        <v>Pantesan  Teu Forward Beak Corruption Hayang Neang Untung Tinu Application Meuli Nanaon Ge Ku Money</v>
      </c>
    </row>
    <row r="6309" spans="1:2" x14ac:dyDescent="0.2">
      <c r="A6309" s="1" t="s">
        <v>2302</v>
      </c>
      <c r="B6309" s="1" t="str">
        <f ca="1">IFERROR(__xludf.DUMFUNCTION("GOOGLETRANSLATE(A6483,""id"",""en"")"),"bro, buy pertalite using an old office official car nmas  for a while watching it is dark")</f>
        <v>bro, buy pertalite using an old office official car nmas  for a while watching it is dark</v>
      </c>
    </row>
    <row r="6310" spans="1:2" x14ac:dyDescent="0.2">
      <c r="A6310" s="1" t="s">
        <v>2303</v>
      </c>
      <c r="B6310" s="1" t="str">
        <f ca="1">IFERROR(__xludf.DUMFUNCTION("GOOGLETRANSLATE(A6484,""id"",""en"")"),"Just work with , how is the market for the company, the profit must")</f>
        <v>Just work with , how is the market for the company, the profit must</v>
      </c>
    </row>
    <row r="6311" spans="1:2" x14ac:dyDescent="0.2">
      <c r="A6311" s="1" t="s">
        <v>1071</v>
      </c>
      <c r="B6311" s="1" t="str">
        <f ca="1">IFERROR(__xludf.DUMFUNCTION("GOOGLETRANSLATE(A6485,""id"",""en"")"),"If  doesn't turn on your cellphone")</f>
        <v>If  doesn't turn on your cellphone</v>
      </c>
    </row>
    <row r="6312" spans="1:2" x14ac:dyDescent="0.2">
      <c r="A6312" s="1" t="s">
        <v>1072</v>
      </c>
      <c r="B6312" s="1" t="str">
        <f ca="1">IFERROR(__xludf.DUMFUNCTION("GOOGLETRANSLATE(A6486,""id"",""en"")"),"God's son is busy taking care of ")</f>
        <v xml:space="preserve">God's son is busy taking care of </v>
      </c>
    </row>
    <row r="6313" spans="1:2" x14ac:dyDescent="0.2">
      <c r="A6313" s="1" t="s">
        <v>5016</v>
      </c>
      <c r="B6313" s="1" t="str">
        <f ca="1">IFERROR(__xludf.DUMFUNCTION("GOOGLETRANSLATE(A6487,""id"",""en"")"),"  makes it complicated")</f>
        <v xml:space="preserve">  makes it complicated</v>
      </c>
    </row>
    <row r="6314" spans="1:2" x14ac:dyDescent="0.2">
      <c r="A6314" s="1" t="s">
        <v>880</v>
      </c>
      <c r="B6314" s="1" t="str">
        <f ca="1">IFERROR(__xludf.DUMFUNCTION("GOOGLETRANSLATE(A6488,""id"",""en"")"),"I've been a dizzy debit card, I don't pay the adm card using a delicious mobile banking, the mall")</f>
        <v>I've been a dizzy debit card, I don't pay the adm card using a delicious mobile banking, the mall</v>
      </c>
    </row>
    <row r="6315" spans="1:2" x14ac:dyDescent="0.2">
      <c r="A6315" s="1" t="s">
        <v>2304</v>
      </c>
      <c r="B6315" s="1" t="str">
        <f ca="1">IFERROR(__xludf.DUMFUNCTION("GOOGLETRANSLATE(A6489,""id"",""en"")")," is obliged to the community to buy BBM Pertalite Solar List Suitable Data")</f>
        <v xml:space="preserve"> is obliged to the community to buy BBM Pertalite Solar List Suitable Data</v>
      </c>
    </row>
    <row r="6316" spans="1:2" x14ac:dyDescent="0.2">
      <c r="A6316" s="1" t="s">
        <v>248</v>
      </c>
      <c r="B6316" s="1" t="str">
        <f ca="1">IFERROR(__xludf.DUMFUNCTION("GOOGLETRANSLATE(A6490,""id"",""en"")"),"The Task of the President Commissioner is one of the alert to the streets of the business")</f>
        <v>The Task of the President Commissioner is one of the alert to the streets of the business</v>
      </c>
    </row>
    <row r="6317" spans="1:2" x14ac:dyDescent="0.2">
      <c r="A6317" s="1" t="s">
        <v>249</v>
      </c>
      <c r="B6317" s="1" t="str">
        <f ca="1">IFERROR(__xludf.DUMFUNCTION("GOOGLETRANSLATE(A6491,""id"",""en"")"),"Not Nyiyirin Jokowi Ukraine Russia")</f>
        <v>Not Nyiyirin Jokowi Ukraine Russia</v>
      </c>
    </row>
    <row r="6318" spans="1:2" x14ac:dyDescent="0.2">
      <c r="A6318" s="1" t="s">
        <v>1075</v>
      </c>
      <c r="B6318" s="1" t="str">
        <f ca="1">IFERROR(__xludf.DUMFUNCTION("GOOGLETRANSLATE(A6492,""id"",""en"")")," Commissioner Yang Jawb Mgkn")</f>
        <v xml:space="preserve"> Commissioner Yang Jawb Mgkn</v>
      </c>
    </row>
    <row r="6319" spans="1:2" x14ac:dyDescent="0.2">
      <c r="A6319" s="1" t="s">
        <v>5764</v>
      </c>
      <c r="B6319" s="1" t="str">
        <f ca="1">IFERROR(__xludf.DUMFUNCTION("GOOGLETRANSLATE(A6493,""id"",""en"")"),"Reject   LAHUM SPBU Operators with an Easy Alas")</f>
        <v>Reject   LAHUM SPBU Operators with an Easy Alas</v>
      </c>
    </row>
    <row r="6320" spans="1:2" x14ac:dyDescent="0.2">
      <c r="A6320" s="1" t="s">
        <v>5018</v>
      </c>
      <c r="B6320" s="1" t="str">
        <f ca="1">IFERROR(__xludf.DUMFUNCTION("GOOGLETRANSLATE(A6494,""id"",""en"")"),"  input Kendara Number")</f>
        <v xml:space="preserve">  input Kendara Number</v>
      </c>
    </row>
    <row r="6321" spans="1:2" x14ac:dyDescent="0.2">
      <c r="A6321" s="1" t="s">
        <v>250</v>
      </c>
      <c r="B6321" s="1" t="str">
        <f ca="1">IFERROR(__xludf.DUMFUNCTION("GOOGLETRANSLATE(A6495,""id"",""en"")"),"buzzer terna on good job comments")</f>
        <v>buzzer terna on good job comments</v>
      </c>
    </row>
    <row r="6322" spans="1:2" x14ac:dyDescent="0.2">
      <c r="A6322" s="1" t="s">
        <v>2305</v>
      </c>
      <c r="B6322" s="1" t="str">
        <f ca="1">IFERROR(__xludf.DUMFUNCTION("GOOGLETRANSLATE(A6496,""id"",""en"")")," May develops Pertashop Ngahi Pertamini which driver urinates")</f>
        <v xml:space="preserve"> May develops Pertashop Ngahi Pertamini which driver urinates</v>
      </c>
    </row>
    <row r="6323" spans="1:2" x14ac:dyDescent="0.2">
      <c r="A6323" s="1" t="s">
        <v>1077</v>
      </c>
      <c r="B6323" s="1" t="str">
        <f ca="1">IFERROR(__xludf.DUMFUNCTION("GOOGLETRANSLATE(A6497,""id"",""en"")"),"'s top haters.")</f>
        <v>'s top haters.</v>
      </c>
    </row>
    <row r="6324" spans="1:2" x14ac:dyDescent="0.2">
      <c r="A6324" s="1" t="s">
        <v>251</v>
      </c>
      <c r="B6324" s="1" t="str">
        <f ca="1">IFERROR(__xludf.DUMFUNCTION("GOOGLETRANSLATE(A6498,""id"",""en"")"),"Improved buying pertalite using an application not advertising community service that tells")</f>
        <v>Improved buying pertalite using an application not advertising community service that tells</v>
      </c>
    </row>
    <row r="6325" spans="1:2" x14ac:dyDescent="0.2">
      <c r="A6325" s="1" t="s">
        <v>2306</v>
      </c>
      <c r="B6325" s="1" t="str">
        <f ca="1">IFERROR(__xludf.DUMFUNCTION("GOOGLETRANSLATE(A6499,""id"",""en"")"),"Nitip added  Sultan Tajir Buy a cellphone that stuck CMA")</f>
        <v>Nitip added  Sultan Tajir Buy a cellphone that stuck CMA</v>
      </c>
    </row>
    <row r="6326" spans="1:2" x14ac:dyDescent="0.2">
      <c r="A6326" s="1" t="s">
        <v>1079</v>
      </c>
      <c r="B6326" s="1" t="str">
        <f ca="1">IFERROR(__xludf.DUMFUNCTION("GOOGLETRANSLATE(A6500,""id"",""en"")"),"What I thought was when I saw the news of PAN, I didn't play your cellphone, Begimane, ")</f>
        <v xml:space="preserve">What I thought was when I saw the news of PAN, I didn't play your cellphone, Begimane, </v>
      </c>
    </row>
    <row r="6327" spans="1:2" x14ac:dyDescent="0.2">
      <c r="A6327" s="1" t="s">
        <v>252</v>
      </c>
      <c r="B6327" s="1" t="str">
        <f ca="1">IFERROR(__xludf.DUMFUNCTION("GOOGLETRANSLATE(A6501,""id"",""en"")"),"Sih Bandung is in Tangerang")</f>
        <v>Sih Bandung is in Tangerang</v>
      </c>
    </row>
    <row r="6328" spans="1:2" x14ac:dyDescent="0.2">
      <c r="A6328" s="1" t="s">
        <v>1080</v>
      </c>
      <c r="B6328" s="1" t="str">
        <f ca="1">IFERROR(__xludf.DUMFUNCTION("GOOGLETRANSLATE(A6502,""id"",""en"")"),"Use Vivo wkwkwk  OPTION GA VIVO")</f>
        <v>Use Vivo wkwkwk  OPTION GA VIVO</v>
      </c>
    </row>
    <row r="6329" spans="1:2" x14ac:dyDescent="0.2">
      <c r="A6329" s="1" t="s">
        <v>1081</v>
      </c>
      <c r="B6329" s="1" t="str">
        <f ca="1">IFERROR(__xludf.DUMFUNCTION("GOOGLETRANSLATE(A6503,""id"",""en"")"),"Iyo POM ")</f>
        <v xml:space="preserve">Iyo POM </v>
      </c>
    </row>
    <row r="6330" spans="1:2" x14ac:dyDescent="0.2">
      <c r="A6330" s="1" t="s">
        <v>253</v>
      </c>
      <c r="B6330" s="1" t="str">
        <f ca="1">IFERROR(__xludf.DUMFUNCTION("GOOGLETRANSLATE(A6504,""id"",""en"")"),"gin so that the application to sell money is the story")</f>
        <v>gin so that the application to sell money is the story</v>
      </c>
    </row>
    <row r="6331" spans="1:2" x14ac:dyDescent="0.2">
      <c r="A6331" s="1" t="s">
        <v>5765</v>
      </c>
      <c r="B6331" s="1" t="str">
        <f ca="1">IFERROR(__xludf.DUMFUNCTION("GOOGLETRANSLATE(A6506,""id"",""en"")"),"Business Opportunities Nnongkrong Gas Station Open   Application Input Service")</f>
        <v>Business Opportunities Nnongkrong Gas Station Open   Application Input Service</v>
      </c>
    </row>
    <row r="6332" spans="1:2" x14ac:dyDescent="0.2">
      <c r="A6332" s="1" t="s">
        <v>255</v>
      </c>
      <c r="B6332" s="1" t="str">
        <f ca="1">IFERROR(__xludf.DUMFUNCTION("GOOGLETRANSLATE(A6507,""id"",""en"")"),"wise -wisdom juatru that people are not smartphone")</f>
        <v>wise -wisdom juatru that people are not smartphone</v>
      </c>
    </row>
    <row r="6333" spans="1:2" x14ac:dyDescent="0.2">
      <c r="A6333" s="1" t="s">
        <v>881</v>
      </c>
      <c r="B6333" s="1" t="str">
        <f ca="1">IFERROR(__xludf.DUMFUNCTION("GOOGLETRANSLATE(A6508,""id"",""en"")"),"wise that is difficult for the people nindonesia hy jawa bal ngana the area of ​​the pencil does not use the application aj")</f>
        <v>wise that is difficult for the people nindonesia hy jawa bal ngana the area of ​​the pencil does not use the application aj</v>
      </c>
    </row>
    <row r="6334" spans="1:2" x14ac:dyDescent="0.2">
      <c r="A6334" s="1" t="s">
        <v>257</v>
      </c>
      <c r="B6334" s="1" t="str">
        <f ca="1">IFERROR(__xludf.DUMFUNCTION("GOOGLETRANSLATE(A6509,""id"",""en"")"),"Thinking of it")</f>
        <v>Thinking of it</v>
      </c>
    </row>
    <row r="6335" spans="1:2" x14ac:dyDescent="0.2">
      <c r="A6335" s="1" t="s">
        <v>1082</v>
      </c>
      <c r="B6335" s="1" t="str">
        <f ca="1">IFERROR(__xludf.DUMFUNCTION("GOOGLETRANSLATE(A6510,""id"",""en"")"),"Warm Kiss  Truck")</f>
        <v>Warm Kiss  Truck</v>
      </c>
    </row>
    <row r="6336" spans="1:2" x14ac:dyDescent="0.2">
      <c r="A6336" s="1" t="s">
        <v>1083</v>
      </c>
      <c r="B6336" s="1" t="str">
        <f ca="1">IFERROR(__xludf.DUMFUNCTION("GOOGLETRANSLATE(A6511,""id"",""en"")"),"List of 's online contents")</f>
        <v>List of 's online contents</v>
      </c>
    </row>
    <row r="6337" spans="1:2" x14ac:dyDescent="0.2">
      <c r="A6337" s="1" t="s">
        <v>258</v>
      </c>
      <c r="B6337" s="1" t="str">
        <f ca="1">IFERROR(__xludf.DUMFUNCTION("GOOGLETRANSLATE(A6512,""id"",""en"")"),"invites Eta mah")</f>
        <v>invites Eta mah</v>
      </c>
    </row>
    <row r="6338" spans="1:2" x14ac:dyDescent="0.2">
      <c r="A6338" s="1" t="s">
        <v>5020</v>
      </c>
      <c r="B6338" s="1" t="str">
        <f ca="1">IFERROR(__xludf.DUMFUNCTION("GOOGLETRANSLATE(A6513,""id"",""en"")"),"excited about buying bbm gas stations using  application")</f>
        <v>excited about buying bbm gas stations using  application</v>
      </c>
    </row>
    <row r="6339" spans="1:2" x14ac:dyDescent="0.2">
      <c r="A6339" s="1" t="s">
        <v>5021</v>
      </c>
      <c r="B6339" s="1" t="str">
        <f ca="1">IFERROR(__xludf.DUMFUNCTION("GOOGLETRANSLATE(A6514,""id"",""en"")"),"Gausa uses   ain qris pom already")</f>
        <v>Gausa uses   ain qris pom already</v>
      </c>
    </row>
    <row r="6340" spans="1:2" x14ac:dyDescent="0.2">
      <c r="A6340" s="1" t="s">
        <v>882</v>
      </c>
      <c r="B6340" s="1" t="str">
        <f ca="1">IFERROR(__xludf.DUMFUNCTION("GOOGLETRANSLATE(A6515,""id"",""en"")"),"Buy Migor Using Buy Pertalite using complicated nrax")</f>
        <v>Buy Migor Using Buy Pertalite using complicated nrax</v>
      </c>
    </row>
    <row r="6341" spans="1:2" x14ac:dyDescent="0.2">
      <c r="A6341" s="1" t="s">
        <v>883</v>
      </c>
      <c r="B6341" s="1" t="str">
        <f ca="1">IFERROR(__xludf.DUMFUNCTION("GOOGLETRANSLATE(A6516,""id"",""en"")"),"Indonesia is difficult for people to have difficulty difficult orders to wise orders")</f>
        <v>Indonesia is difficult for people to have difficulty difficult orders to wise orders</v>
      </c>
    </row>
    <row r="6342" spans="1:2" x14ac:dyDescent="0.2">
      <c r="A6342" s="1" t="s">
        <v>1084</v>
      </c>
      <c r="B6342" s="1" t="str">
        <f ca="1">IFERROR(__xludf.DUMFUNCTION("GOOGLETRANSLATE(A6517,""id"",""en"")"),"ahhhh the name licks the shame of the shame of the  class but the bacot is not holding")</f>
        <v>ahhhh the name licks the shame of the shame of the  class but the bacot is not holding</v>
      </c>
    </row>
    <row r="6343" spans="1:2" x14ac:dyDescent="0.2">
      <c r="A6343" s="1" t="s">
        <v>1001</v>
      </c>
      <c r="B6343" s="1" t="str">
        <f ca="1">IFERROR(__xludf.DUMFUNCTION("GOOGLETRANSLATE(A6518,""id"",""en"")")," era ahok is easy")</f>
        <v xml:space="preserve"> era ahok is easy</v>
      </c>
    </row>
    <row r="6344" spans="1:2" x14ac:dyDescent="0.2">
      <c r="A6344" s="1" t="s">
        <v>1085</v>
      </c>
      <c r="B6344" s="1" t="str">
        <f ca="1">IFERROR(__xludf.DUMFUNCTION("GOOGLETRANSLATE(A6519,""id"",""en"")"),"Fill in  PT duggnya music maen maen just fill in gasoline")</f>
        <v>Fill in  PT duggnya music maen maen just fill in gasoline</v>
      </c>
    </row>
    <row r="6345" spans="1:2" x14ac:dyDescent="0.2">
      <c r="A6345" s="1" t="s">
        <v>884</v>
      </c>
      <c r="B6345" s="1" t="str">
        <f ca="1">IFERROR(__xludf.DUMFUNCTION("GOOGLETRANSLATE(A6520,""id"",""en"")"),"Yes, Pay cashless business is usually seagrass, the contents of the balance of the admin fee.")</f>
        <v>Yes, Pay cashless business is usually seagrass, the contents of the balance of the admin fee.</v>
      </c>
    </row>
    <row r="6346" spans="1:2" x14ac:dyDescent="0.2">
      <c r="A6346" s="1" t="s">
        <v>885</v>
      </c>
      <c r="B6346" s="1" t="str">
        <f ca="1">IFERROR(__xludf.DUMFUNCTION("GOOGLETRANSLATE(A6521,""id"",""en"")"),"try wisely the logical people stuttering technology to buy fuel subsidies is difficult")</f>
        <v>try wisely the logical people stuttering technology to buy fuel subsidies is difficult</v>
      </c>
    </row>
    <row r="6347" spans="1:2" x14ac:dyDescent="0.2">
      <c r="A6347" s="1" t="s">
        <v>886</v>
      </c>
      <c r="B6347" s="1" t="str">
        <f ca="1">IFERROR(__xludf.DUMFUNCTION("GOOGLETRANSLATE(A6522,""id"",""en"")"),"what I imagine in understanding installing the app is not protesting but the balance")</f>
        <v>what I imagine in understanding installing the app is not protesting but the balance</v>
      </c>
    </row>
    <row r="6348" spans="1:2" x14ac:dyDescent="0.2">
      <c r="A6348" s="1" t="s">
        <v>1087</v>
      </c>
      <c r="B6348" s="1" t="str">
        <f ca="1">IFERROR(__xludf.DUMFUNCTION("GOOGLETRANSLATE(A6523,""id"",""en"")")," try to sell well fuel subsidized sarapar")</f>
        <v xml:space="preserve"> try to sell well fuel subsidized sarapar</v>
      </c>
    </row>
    <row r="6349" spans="1:2" x14ac:dyDescent="0.2">
      <c r="A6349" s="1" t="s">
        <v>887</v>
      </c>
      <c r="B6349" s="1" t="str">
        <f ca="1">IFERROR(__xludf.DUMFUNCTION("GOOGLETRANSLATE(A6524,""id"",""en"")"),"Nitip Puang Norang Negri fills BBM contents using the Nribt Life Application")</f>
        <v>Nitip Puang Norang Negri fills BBM contents using the Nribt Life Application</v>
      </c>
    </row>
    <row r="6350" spans="1:2" x14ac:dyDescent="0.2">
      <c r="A6350" s="1" t="s">
        <v>5766</v>
      </c>
      <c r="B6350" s="1" t="str">
        <f ca="1">IFERROR(__xludf.DUMFUNCTION("GOOGLETRANSLATE(A6525,""id"",""en"")"),"after downloading, just make a   link, the link is cool when filling the margonda clock")</f>
        <v>after downloading, just make a   link, the link is cool when filling the margonda clock</v>
      </c>
    </row>
    <row r="6351" spans="1:2" x14ac:dyDescent="0.2">
      <c r="A6351" s="1" t="s">
        <v>263</v>
      </c>
      <c r="B6351" s="1" t="str">
        <f ca="1">IFERROR(__xludf.DUMFUNCTION("GOOGLETRANSLATE(A6526,""id"",""en"")"),"CLOSE STUP")</f>
        <v>CLOSE STUP</v>
      </c>
    </row>
    <row r="6352" spans="1:2" x14ac:dyDescent="0.2">
      <c r="A6352" s="1" t="s">
        <v>264</v>
      </c>
      <c r="B6352" s="1" t="str">
        <f ca="1">IFERROR(__xludf.DUMFUNCTION("GOOGLETRANSLATE(A6527,""id"",""en"")"),"dangerous, the cellphone came out, then the net that signal the danger")</f>
        <v>dangerous, the cellphone came out, then the net that signal the danger</v>
      </c>
    </row>
    <row r="6353" spans="1:2" x14ac:dyDescent="0.2">
      <c r="A6353" s="1" t="s">
        <v>1088</v>
      </c>
      <c r="B6353" s="1" t="str">
        <f ca="1">IFERROR(__xludf.DUMFUNCTION("GOOGLETRANSLATE(A6528,""id"",""en"")"),"Profile of Iman Rachman President Director of Bei Lenggang ")</f>
        <v xml:space="preserve">Profile of Iman Rachman President Director of Bei Lenggang </v>
      </c>
    </row>
    <row r="6354" spans="1:2" x14ac:dyDescent="0.2">
      <c r="A6354" s="1" t="s">
        <v>1089</v>
      </c>
      <c r="B6354" s="1" t="str">
        <f ca="1">IFERROR(__xludf.DUMFUNCTION("GOOGLETRANSLATE(A6529,""id"",""en"")"),"Shell Pump Technology Different from ")</f>
        <v xml:space="preserve">Shell Pump Technology Different from </v>
      </c>
    </row>
    <row r="6355" spans="1:2" x14ac:dyDescent="0.2">
      <c r="A6355" s="1" t="s">
        <v>5767</v>
      </c>
      <c r="B6355" s="1" t="str">
        <f ca="1">IFERROR(__xludf.DUMFUNCTION("GOOGLETRANSLATE(A6530,""id"",""en"")")," tests using  to buy a solar pertalite who bought subsidies for people not cellphones")</f>
        <v xml:space="preserve"> tests using  to buy a solar pertalite who bought subsidies for people not cellphones</v>
      </c>
    </row>
    <row r="6356" spans="1:2" x14ac:dyDescent="0.2">
      <c r="A6356" s="1" t="s">
        <v>5768</v>
      </c>
      <c r="B6356" s="1" t="str">
        <f ca="1">IFERROR(__xludf.DUMFUNCTION("GOOGLETRANSLATE(A6531,""id"",""en"")"),"Please sell for the application for the   application to buy BBM for prohibiting the cellphone")</f>
        <v>Please sell for the application for the   application to buy BBM for prohibiting the cellphone</v>
      </c>
    </row>
    <row r="6357" spans="1:2" x14ac:dyDescent="0.2">
      <c r="A6357" s="1" t="s">
        <v>888</v>
      </c>
      <c r="B6357" s="1" t="str">
        <f ca="1">IFERROR(__xludf.DUMFUNCTION("GOOGLETRANSLATE(A6532,""id"",""en"")"),"consumers who fill in fuel pertalite solar if not with the pump contents in the area")</f>
        <v>consumers who fill in fuel pertalite solar if not with the pump contents in the area</v>
      </c>
    </row>
    <row r="6358" spans="1:2" x14ac:dyDescent="0.2">
      <c r="A6358" s="1" t="s">
        <v>5026</v>
      </c>
      <c r="B6358" s="1" t="str">
        <f ca="1">IFERROR(__xludf.DUMFUNCTION("GOOGLETRANSLATE(A6533,""id"",""en"")"),"It's really complicated to use   developer thinking about the field technical field")</f>
        <v>It's really complicated to use   developer thinking about the field technical field</v>
      </c>
    </row>
    <row r="6359" spans="1:2" x14ac:dyDescent="0.2">
      <c r="A6359" s="1" t="s">
        <v>2307</v>
      </c>
      <c r="B6359" s="1" t="str">
        <f ca="1">IFERROR(__xludf.DUMFUNCTION("GOOGLETRANSLATE(A6534,""id"",""en"")")," Trial Buy Pertalite Solar to List Sites")</f>
        <v xml:space="preserve"> Trial Buy Pertalite Solar to List Sites</v>
      </c>
    </row>
    <row r="6360" spans="1:2" x14ac:dyDescent="0.2">
      <c r="A6360" s="1" t="s">
        <v>1091</v>
      </c>
      <c r="B6360" s="1" t="str">
        <f ca="1">IFERROR(__xludf.DUMFUNCTION("GOOGLETRANSLATE(A6535,""id"",""en"")"),"who says like to adjust the injcy of a boot account")</f>
        <v>who says like to adjust the injcy of a boot account</v>
      </c>
    </row>
    <row r="6361" spans="1:2" x14ac:dyDescent="0.2">
      <c r="A6361" s="1" t="s">
        <v>265</v>
      </c>
      <c r="B6361" s="1" t="str">
        <f ca="1">IFERROR(__xludf.DUMFUNCTION("GOOGLETRANSLATE(A6536,""id"",""en"")"),"Pa Didu is not playing cellphone gas station ko ambyar man")</f>
        <v>Pa Didu is not playing cellphone gas station ko ambyar man</v>
      </c>
    </row>
    <row r="6362" spans="1:2" x14ac:dyDescent="0.2">
      <c r="A6362" s="1" t="s">
        <v>2308</v>
      </c>
      <c r="B6362" s="1" t="str">
        <f ca="1">IFERROR(__xludf.DUMFUNCTION("GOOGLETRANSLATE(A6537,""id"",""en"")"),"Pdhl, it's good to give you the money from , then it is directed at the tank.")</f>
        <v>Pdhl, it's good to give you the money from , then it is directed at the tank.</v>
      </c>
    </row>
    <row r="6363" spans="1:2" x14ac:dyDescent="0.2">
      <c r="A6363" s="1" t="s">
        <v>1093</v>
      </c>
      <c r="B6363" s="1" t="str">
        <f ca="1">IFERROR(__xludf.DUMFUNCTION("GOOGLETRANSLATE(A6538,""id"",""en"")"),"The cellphone feature phone contains ")</f>
        <v xml:space="preserve">The cellphone feature phone contains </v>
      </c>
    </row>
    <row r="6364" spans="1:2" x14ac:dyDescent="0.2">
      <c r="A6364" s="1" t="s">
        <v>5769</v>
      </c>
      <c r="B6364" s="1" t="str">
        <f ca="1">IFERROR(__xludf.DUMFUNCTION("GOOGLETRANSLATE(A6539,""id"",""en"")"),"Splashy  now the husband's meaning is really using cash")</f>
        <v>Splashy  now the husband's meaning is really using cash</v>
      </c>
    </row>
    <row r="6365" spans="1:2" x14ac:dyDescent="0.2">
      <c r="A6365" s="1" t="s">
        <v>2309</v>
      </c>
      <c r="B6365" s="1" t="str">
        <f ca="1">IFERROR(__xludf.DUMFUNCTION("GOOGLETRANSLATE(A6540,""id"",""en"")"),"duh crude oil spilled area of ​​the Cilacap Pier Coastal  Cilacap Pier")</f>
        <v>duh crude oil spilled area of ​​the Cilacap Pier Coastal  Cilacap Pier</v>
      </c>
    </row>
    <row r="6366" spans="1:2" x14ac:dyDescent="0.2">
      <c r="A6366" s="1" t="s">
        <v>2310</v>
      </c>
      <c r="B6366" s="1" t="str">
        <f ca="1">IFERROR(__xludf.DUMFUNCTION("GOOGLETRANSLATE(A6541,""id"",""en"")"),"Non  gas stations are easy to monitor quality")</f>
        <v>Non  gas stations are easy to monitor quality</v>
      </c>
    </row>
    <row r="6367" spans="1:2" x14ac:dyDescent="0.2">
      <c r="A6367" s="1" t="s">
        <v>5770</v>
      </c>
      <c r="B6367" s="1" t="str">
        <f ca="1">IFERROR(__xludf.DUMFUNCTION("GOOGLETRANSLATE(A6542,""id"",""en"")")," BBM Step SUBSIDI SUBSIDY Come on a list of  data")</f>
        <v xml:space="preserve"> BBM Step SUBSIDI SUBSIDY Come on a list of  data</v>
      </c>
    </row>
    <row r="6368" spans="1:2" x14ac:dyDescent="0.2">
      <c r="A6368" s="1" t="s">
        <v>889</v>
      </c>
      <c r="B6368" s="1" t="str">
        <f ca="1">IFERROR(__xludf.DUMFUNCTION("GOOGLETRANSLATE(A6544,""id"",""en"")"),"cigarettes yes gas station distance meter dispenser contents")</f>
        <v>cigarettes yes gas station distance meter dispenser contents</v>
      </c>
    </row>
    <row r="6369" spans="1:2" x14ac:dyDescent="0.2">
      <c r="A6369" s="1" t="s">
        <v>890</v>
      </c>
      <c r="B6369" s="1" t="str">
        <f ca="1">IFERROR(__xludf.DUMFUNCTION("GOOGLETRANSLATE(A6545,""id"",""en"")"),"bastard buying gasoline using an application that is pertalite solar is gabits")</f>
        <v>bastard buying gasoline using an application that is pertalite solar is gabits</v>
      </c>
    </row>
    <row r="6370" spans="1:2" x14ac:dyDescent="0.2">
      <c r="A6370" s="1" t="s">
        <v>5031</v>
      </c>
      <c r="B6370" s="1" t="str">
        <f ca="1">IFERROR(__xludf.DUMFUNCTION("GOOGLETRANSLATE(A6546,""id"",""en"")"),"prohibit mobile bbm filling gas stations pay using   application using mobile phones")</f>
        <v>prohibit mobile bbm filling gas stations pay using   application using mobile phones</v>
      </c>
    </row>
    <row r="6371" spans="1:2" x14ac:dyDescent="0.2">
      <c r="A6371" s="1" t="s">
        <v>5032</v>
      </c>
      <c r="B6371" s="1" t="str">
        <f ca="1">IFERROR(__xludf.DUMFUNCTION("GOOGLETRANSLATE(A6547,""id"",""en"")"),"hmmm gas station is banned from playing cellphones but when filling the gasoline, you should use   exciting too, think out of the box")</f>
        <v>hmmm gas station is banned from playing cellphones but when filling the gasoline, you should use   exciting too, think out of the box</v>
      </c>
    </row>
    <row r="6372" spans="1:2" x14ac:dyDescent="0.2">
      <c r="A6372" s="1" t="s">
        <v>5771</v>
      </c>
      <c r="B6372" s="1" t="str">
        <f ca="1">IFERROR(__xludf.DUMFUNCTION("GOOGLETRANSLATE(A6548,""id"",""en"")"),"PT  TERAWAT III LAND PLOTE SUBSO")</f>
        <v>PT  TERAWAT III LAND PLOTE SUBSO</v>
      </c>
    </row>
    <row r="6373" spans="1:2" x14ac:dyDescent="0.2">
      <c r="A6373" s="1" t="s">
        <v>266</v>
      </c>
      <c r="B6373" s="1" t="str">
        <f ca="1">IFERROR(__xludf.DUMFUNCTION("GOOGLETRANSLATE(A6549,""id"",""en"")"),"prohibit the style of the style gas station to make it cool")</f>
        <v>prohibit the style of the style gas station to make it cool</v>
      </c>
    </row>
    <row r="6374" spans="1:2" x14ac:dyDescent="0.2">
      <c r="A6374" s="1" t="s">
        <v>5772</v>
      </c>
      <c r="B6374" s="1" t="str">
        <f ca="1">IFERROR(__xludf.DUMFUNCTION("GOOGLETRANSLATE(A6550,""id"",""en"")"),"Use apps if you buy fuel worn out, you can't subsidize using ")</f>
        <v xml:space="preserve">Use apps if you buy fuel worn out, you can't subsidize using </v>
      </c>
    </row>
    <row r="6375" spans="1:2" x14ac:dyDescent="0.2">
      <c r="A6375" s="1" t="s">
        <v>267</v>
      </c>
      <c r="B6375" s="1" t="str">
        <f ca="1">IFERROR(__xludf.DUMFUNCTION("GOOGLETRANSLATE(A6551,""id"",""en"")"),"Didu did not step back, where did you back down")</f>
        <v>Didu did not step back, where did you back down</v>
      </c>
    </row>
    <row r="6376" spans="1:2" x14ac:dyDescent="0.2">
      <c r="A6376" s="1" t="s">
        <v>2311</v>
      </c>
      <c r="B6376" s="1" t="str">
        <f ca="1">IFERROR(__xludf.DUMFUNCTION("GOOGLETRANSLATE(A6552,""id"",""en"")"),"for a moment  sells a trial buying solar data list.")</f>
        <v>for a moment  sells a trial buying solar data list.</v>
      </c>
    </row>
    <row r="6377" spans="1:2" x14ac:dyDescent="0.2">
      <c r="A6377" s="1" t="s">
        <v>1098</v>
      </c>
      <c r="B6377" s="1" t="str">
        <f ca="1">IFERROR(__xludf.DUMFUNCTION("GOOGLETRANSLATE(A6553,""id"",""en"")"),"'s cigarettes are tankki meter distance")</f>
        <v>'s cigarettes are tankki meter distance</v>
      </c>
    </row>
    <row r="6378" spans="1:2" x14ac:dyDescent="0.2">
      <c r="A6378" s="1" t="s">
        <v>1099</v>
      </c>
      <c r="B6378" s="1" t="str">
        <f ca="1">IFERROR(__xludf.DUMFUNCTION("GOOGLETRANSLATE(A6554,""id"",""en"")"),"Yes, ")</f>
        <v xml:space="preserve">Yes, </v>
      </c>
    </row>
    <row r="6379" spans="1:2" x14ac:dyDescent="0.2">
      <c r="A6379" s="1" t="s">
        <v>268</v>
      </c>
      <c r="B6379" s="1" t="str">
        <f ca="1">IFERROR(__xludf.DUMFUNCTION("GOOGLETRANSLATE(A6555,""id"",""en"")"),"I don't think about what people who don't have a good cellphone")</f>
        <v>I don't think about what people who don't have a good cellphone</v>
      </c>
    </row>
    <row r="6380" spans="1:2" x14ac:dyDescent="0.2">
      <c r="A6380" s="1" t="s">
        <v>2312</v>
      </c>
      <c r="B6380" s="1" t="str">
        <f ca="1">IFERROR(__xludf.DUMFUNCTION("GOOGLETRANSLATE(A6556,""id"",""en"")"),"This try the boss of  boss playing Javanese on Sunday")</f>
        <v>This try the boss of  boss playing Javanese on Sunday</v>
      </c>
    </row>
    <row r="6381" spans="1:2" x14ac:dyDescent="0.2">
      <c r="A6381" s="1" t="s">
        <v>269</v>
      </c>
      <c r="B6381" s="1" t="str">
        <f ca="1">IFERROR(__xludf.DUMFUNCTION("GOOGLETRANSLATE(A6557,""id"",""en"")"),"if the controls that private cars buy delicious subsidies wk wk wk")</f>
        <v>if the controls that private cars buy delicious subsidies wk wk wk</v>
      </c>
    </row>
    <row r="6382" spans="1:2" x14ac:dyDescent="0.2">
      <c r="A6382" s="1" t="s">
        <v>1101</v>
      </c>
      <c r="B6382" s="1" t="str">
        <f ca="1">IFERROR(__xludf.DUMFUNCTION("GOOGLETRANSLATE(A6558,""id"",""en"")"),"I hope the benefits of Android mobiles forbid  gas stations with fun")</f>
        <v>I hope the benefits of Android mobiles forbid  gas stations with fun</v>
      </c>
    </row>
    <row r="6383" spans="1:2" x14ac:dyDescent="0.2">
      <c r="A6383" s="1" t="s">
        <v>891</v>
      </c>
      <c r="B6383" s="1" t="str">
        <f ca="1">IFERROR(__xludf.DUMFUNCTION("GOOGLETRANSLATE(A6559,""id"",""en"")"),"Buy Nominal BBM Odd Hindar Cheat SPBU NINFORMATION HOAKS NELAH")</f>
        <v>Buy Nominal BBM Odd Hindar Cheat SPBU NINFORMATION HOAKS NELAH</v>
      </c>
    </row>
    <row r="6384" spans="1:2" x14ac:dyDescent="0.2">
      <c r="A6384" s="1" t="s">
        <v>892</v>
      </c>
      <c r="B6384" s="1" t="str">
        <f ca="1">IFERROR(__xludf.DUMFUNCTION("GOOGLETRANSLATE(A6560,""id"",""en"")"),"Reject hard to buy BBM using what application is bothering to breastfeed")</f>
        <v>Reject hard to buy BBM using what application is bothering to breastfeed</v>
      </c>
    </row>
    <row r="6385" spans="1:2" x14ac:dyDescent="0.2">
      <c r="A6385" s="1" t="s">
        <v>893</v>
      </c>
      <c r="B6385" s="1" t="str">
        <f ca="1">IFERROR(__xludf.DUMFUNCTION("GOOGLETRANSLATE(A6561,""id"",""en"")"),"Salah Luhut Gathering Big Data Million Plus An extension")</f>
        <v>Salah Luhut Gathering Big Data Million Plus An extension</v>
      </c>
    </row>
    <row r="6386" spans="1:2" x14ac:dyDescent="0.2">
      <c r="A6386" s="1" t="s">
        <v>894</v>
      </c>
      <c r="B6386" s="1" t="str">
        <f ca="1">IFERROR(__xludf.DUMFUNCTION("GOOGLETRANSLATE(A6562,""id"",""en"")"),"No Pdt Pn Vibadak Page Receipts")</f>
        <v>No Pdt Pn Vibadak Page Receipts</v>
      </c>
    </row>
    <row r="6387" spans="1:2" x14ac:dyDescent="0.2">
      <c r="A6387" s="1" t="s">
        <v>1106</v>
      </c>
      <c r="B6387" s="1" t="str">
        <f ca="1">IFERROR(__xludf.DUMFUNCTION("GOOGLETRANSLATE(A6563,""id"",""en"")")," Dilemma Set Dr. Pempus")</f>
        <v xml:space="preserve"> Dilemma Set Dr. Pempus</v>
      </c>
    </row>
    <row r="6388" spans="1:2" x14ac:dyDescent="0.2">
      <c r="A6388" s="1" t="s">
        <v>2313</v>
      </c>
      <c r="B6388" s="1" t="str">
        <f ca="1">IFERROR(__xludf.DUMFUNCTION("GOOGLETRANSLATE(A6564,""id"",""en"")")," Selling Trial Buying Public Solar Pertalite List Come on List")</f>
        <v xml:space="preserve"> Selling Trial Buying Public Solar Pertalite List Come on List</v>
      </c>
    </row>
    <row r="6389" spans="1:2" x14ac:dyDescent="0.2">
      <c r="A6389" s="1" t="s">
        <v>1108</v>
      </c>
      <c r="B6389" s="1" t="str">
        <f ca="1">IFERROR(__xludf.DUMFUNCTION("GOOGLETRANSLATE(A6565,""id"",""en"")"),"Luckily I didn't work ")</f>
        <v xml:space="preserve">Luckily I didn't work </v>
      </c>
    </row>
    <row r="6390" spans="1:2" x14ac:dyDescent="0.2">
      <c r="A6390" s="1" t="s">
        <v>2314</v>
      </c>
      <c r="B6390" s="1" t="str">
        <f ca="1">IFERROR(__xludf.DUMFUNCTION("GOOGLETRANSLATE(A6566,""id"",""en"")"),"The morning that Ukraine please order  Tegal Regency Special Pantura Lin SPBU")</f>
        <v>The morning that Ukraine please order  Tegal Regency Special Pantura Lin SPBU</v>
      </c>
    </row>
    <row r="6391" spans="1:2" x14ac:dyDescent="0.2">
      <c r="A6391" s="1" t="s">
        <v>895</v>
      </c>
      <c r="B6391" s="1" t="str">
        <f ca="1">IFERROR(__xludf.DUMFUNCTION("GOOGLETRANSLATE(A6567,""id"",""en"")"),"oh sorry the solution is ga smartphone list websites")</f>
        <v>oh sorry the solution is ga smartphone list websites</v>
      </c>
    </row>
    <row r="6392" spans="1:2" x14ac:dyDescent="0.2">
      <c r="A6392" s="1" t="s">
        <v>896</v>
      </c>
      <c r="B6392" s="1" t="str">
        <f ca="1">IFERROR(__xludf.DUMFUNCTION("GOOGLETRANSLATE(A6568,""id"",""en"")"),"Nature package loading to pay people already queued stations that refuse ala")</f>
        <v>Nature package loading to pay people already queued stations that refuse ala</v>
      </c>
    </row>
    <row r="6393" spans="1:2" x14ac:dyDescent="0.2">
      <c r="A6393" s="1" t="s">
        <v>1110</v>
      </c>
      <c r="B6393" s="1" t="str">
        <f ca="1">IFERROR(__xludf.DUMFUNCTION("GOOGLETRANSLATE(A6569,""id"",""en"")"),"I will read the flyer if you buy using the  application")</f>
        <v>I will read the flyer if you buy using the  application</v>
      </c>
    </row>
    <row r="6394" spans="1:2" x14ac:dyDescent="0.2">
      <c r="A6394" s="1" t="s">
        <v>2315</v>
      </c>
      <c r="B6394" s="1" t="str">
        <f ca="1">IFERROR(__xludf.DUMFUNCTION("GOOGLETRANSLATE(A6570,""id"",""en"")"),"For Pertalite Solar List  BBM Subsidies Complete Sasar")</f>
        <v>For Pertalite Solar List  BBM Subsidies Complete Sasar</v>
      </c>
    </row>
    <row r="6395" spans="1:2" x14ac:dyDescent="0.2">
      <c r="A6395" s="1" t="s">
        <v>5773</v>
      </c>
      <c r="B6395" s="1" t="str">
        <f ca="1">IFERROR(__xludf.DUMFUNCTION("GOOGLETRANSLATE(A6571,""id"",""en"")"),"Gpp, if you tell me to use   but the salaries of the residents are riding all")</f>
        <v>Gpp, if you tell me to use   but the salaries of the residents are riding all</v>
      </c>
    </row>
    <row r="6396" spans="1:2" x14ac:dyDescent="0.2">
      <c r="A6396" s="1" t="s">
        <v>897</v>
      </c>
      <c r="B6396" s="1" t="str">
        <f ca="1">IFERROR(__xludf.DUMFUNCTION("GOOGLETRANSLATE(A6572,""id"",""en"")"),"I don't use a gas station cellphone who has already paid gasoline using the application via cellphone")</f>
        <v>I don't use a gas station cellphone who has already paid gasoline using the application via cellphone</v>
      </c>
    </row>
    <row r="6397" spans="1:2" x14ac:dyDescent="0.2">
      <c r="A6397" s="1" t="s">
        <v>273</v>
      </c>
      <c r="B6397" s="1" t="str">
        <f ca="1">IFERROR(__xludf.DUMFUNCTION("GOOGLETRANSLATE(A6573,""id"",""en"")"),"Matakna Mak")</f>
        <v>Matakna Mak</v>
      </c>
    </row>
    <row r="6398" spans="1:2" x14ac:dyDescent="0.2">
      <c r="A6398" s="1" t="s">
        <v>5774</v>
      </c>
      <c r="B6398" s="1" t="str">
        <f ca="1">IFERROR(__xludf.DUMFUNCTION("GOOGLETRANSLATE(A6574,""id"",""en"")"),"I am soooooo before, set   prohibit the cellphone gas station now says it is safe")</f>
        <v>I am soooooo before, set   prohibit the cellphone gas station now says it is safe</v>
      </c>
    </row>
    <row r="6399" spans="1:2" x14ac:dyDescent="0.2">
      <c r="A6399" s="1" t="s">
        <v>898</v>
      </c>
      <c r="B6399" s="1" t="str">
        <f ca="1">IFERROR(__xludf.DUMFUNCTION("GOOGLETRANSLATE(A6575,""id"",""en"")"),"General of the Minister of ATR Conduct Checking the location of the land owned by Palabuhanratu Kab")</f>
        <v>General of the Minister of ATR Conduct Checking the location of the land owned by Palabuhanratu Kab</v>
      </c>
    </row>
    <row r="6400" spans="1:2" x14ac:dyDescent="0.2">
      <c r="A6400" s="1" t="s">
        <v>1114</v>
      </c>
      <c r="B6400" s="1" t="str">
        <f ca="1">IFERROR(__xludf.DUMFUNCTION("GOOGLETRANSLATE(A6576,""id"",""en"")")," NUNGGIC NUNDUNGING")</f>
        <v xml:space="preserve"> NUNGGIC NUNDUNGING</v>
      </c>
    </row>
    <row r="6401" spans="1:2" x14ac:dyDescent="0.2">
      <c r="A6401" s="1" t="s">
        <v>274</v>
      </c>
      <c r="B6401" s="1" t="str">
        <f ca="1">IFERROR(__xludf.DUMFUNCTION("GOOGLETRANSLATE(A6577,""id"",""en"")"),"lead tai yaa tai I said tai yaaa if it's dirty the name yaa tai")</f>
        <v>lead tai yaa tai I said tai yaaa if it's dirty the name yaa tai</v>
      </c>
    </row>
    <row r="6402" spans="1:2" x14ac:dyDescent="0.2">
      <c r="A6402" s="1" t="s">
        <v>899</v>
      </c>
      <c r="B6402" s="1" t="str">
        <f ca="1">IFERROR(__xludf.DUMFUNCTION("GOOGLETRANSLATE(A6578,""id"",""en"")"),"Didu has retreated various Mundu positions")</f>
        <v>Didu has retreated various Mundu positions</v>
      </c>
    </row>
    <row r="6403" spans="1:2" x14ac:dyDescent="0.2">
      <c r="A6403" s="1" t="s">
        <v>276</v>
      </c>
      <c r="B6403" s="1" t="str">
        <f ca="1">IFERROR(__xludf.DUMFUNCTION("GOOGLETRANSLATE(A6579,""id"",""en"")"),"wise wise wise danger survivors gas station")</f>
        <v>wise wise wise danger survivors gas station</v>
      </c>
    </row>
    <row r="6404" spans="1:2" x14ac:dyDescent="0.2">
      <c r="A6404" s="1" t="s">
        <v>5039</v>
      </c>
      <c r="B6404" s="1" t="str">
        <f ca="1">IFERROR(__xludf.DUMFUNCTION("GOOGLETRANSLATE(A6580,""id"",""en"")"),"Alas  Choose a Mandatory Region to Register  Buy Pertalite Solar")</f>
        <v>Alas  Choose a Mandatory Region to Register  Buy Pertalite Solar</v>
      </c>
    </row>
    <row r="6405" spans="1:2" x14ac:dyDescent="0.2">
      <c r="A6405" s="1" t="s">
        <v>277</v>
      </c>
      <c r="B6405" s="1" t="str">
        <f ca="1">IFERROR(__xludf.DUMFUNCTION("GOOGLETRANSLATE(A6581,""id"",""en"")"),"anyway the chaotic criticians of the SPBU Block Sam gas station")</f>
        <v>anyway the chaotic criticians of the SPBU Block Sam gas station</v>
      </c>
    </row>
    <row r="6406" spans="1:2" x14ac:dyDescent="0.2">
      <c r="A6406" s="1" t="s">
        <v>278</v>
      </c>
      <c r="B6406" s="1" t="str">
        <f ca="1">IFERROR(__xludf.DUMFUNCTION("GOOGLETRANSLATE(A6582,""id"",""en"")"),"Playing the cellphone, gpp, the cellphone is slammed by the puter that is prohibited from being active, not playing cellphone")</f>
        <v>Playing the cellphone, gpp, the cellphone is slammed by the puter that is prohibited from being active, not playing cellphone</v>
      </c>
    </row>
    <row r="6407" spans="1:2" x14ac:dyDescent="0.2">
      <c r="A6407" s="1" t="s">
        <v>900</v>
      </c>
      <c r="B6407" s="1" t="str">
        <f ca="1">IFERROR(__xludf.DUMFUNCTION("GOOGLETRANSLATE(A6583,""id"",""en"")"),"wise wise wise dangers happy area pom be")</f>
        <v>wise wise wise dangers happy area pom be</v>
      </c>
    </row>
    <row r="6408" spans="1:2" x14ac:dyDescent="0.2">
      <c r="A6408" s="1" t="s">
        <v>2316</v>
      </c>
      <c r="B6408" s="1" t="str">
        <f ca="1">IFERROR(__xludf.DUMFUNCTION("GOOGLETRANSLATE(A6584,""id"",""en"")"),"Bachelor recruitment can be  already remember destroyed")</f>
        <v>Bachelor recruitment can be  already remember destroyed</v>
      </c>
    </row>
    <row r="6409" spans="1:2" x14ac:dyDescent="0.2">
      <c r="A6409" s="1" t="s">
        <v>5775</v>
      </c>
      <c r="B6409" s="1" t="str">
        <f ca="1">IFERROR(__xludf.DUMFUNCTION("GOOGLETRANSLATE(A6585,""id"",""en"")"),"facts for  to buy fuel from  community especially")</f>
        <v>facts for  to buy fuel from  community especially</v>
      </c>
    </row>
    <row r="6410" spans="1:2" x14ac:dyDescent="0.2">
      <c r="A6410" s="1" t="s">
        <v>901</v>
      </c>
      <c r="B6410" s="1" t="str">
        <f ca="1">IFERROR(__xludf.DUMFUNCTION("GOOGLETRANSLATE(A6586,""id"",""en"")"),"if you buy cooking oil using the protection care, buy pertalite not to use it so it's not much")</f>
        <v>if you buy cooking oil using the protection care, buy pertalite not to use it so it's not much</v>
      </c>
    </row>
    <row r="6411" spans="1:2" x14ac:dyDescent="0.2">
      <c r="A6411" s="1" t="s">
        <v>5776</v>
      </c>
      <c r="B6411" s="1" t="str">
        <f ca="1">IFERROR(__xludf.DUMFUNCTION("GOOGLETRANSLATE(A6587,""id"",""en"")"),"The people don't download the   application, the owner")</f>
        <v>The people don't download the   application, the owner</v>
      </c>
    </row>
    <row r="6412" spans="1:2" x14ac:dyDescent="0.2">
      <c r="A6412" s="1" t="s">
        <v>1117</v>
      </c>
      <c r="B6412" s="1" t="str">
        <f ca="1">IFERROR(__xludf.DUMFUNCTION("GOOGLETRANSLATE(A6588,""id"",""en"")")," Application Care Protection Application")</f>
        <v xml:space="preserve"> Application Care Protection Application</v>
      </c>
    </row>
    <row r="6413" spans="1:2" x14ac:dyDescent="0.2">
      <c r="A6413" s="1" t="s">
        <v>1118</v>
      </c>
      <c r="B6413" s="1" t="str">
        <f ca="1">IFERROR(__xludf.DUMFUNCTION("GOOGLETRANSLATE(A6589,""id"",""en"")")," will definitely buy Pertalite Solar Subsidies using the Laku application")</f>
        <v xml:space="preserve"> will definitely buy Pertalite Solar Subsidies using the Laku application</v>
      </c>
    </row>
    <row r="6414" spans="1:2" x14ac:dyDescent="0.2">
      <c r="A6414" s="1" t="s">
        <v>283</v>
      </c>
      <c r="B6414" s="1" t="str">
        <f ca="1">IFERROR(__xludf.DUMFUNCTION("GOOGLETRANSLATE(A6590,""id"",""en"")"),"prohibit hard to live the smartphone of the gas station where you are looking for the Kendar tax option")</f>
        <v>prohibit hard to live the smartphone of the gas station where you are looking for the Kendar tax option</v>
      </c>
    </row>
    <row r="6415" spans="1:2" x14ac:dyDescent="0.2">
      <c r="A6415" s="1" t="s">
        <v>1119</v>
      </c>
      <c r="B6415" s="1" t="str">
        <f ca="1">IFERROR(__xludf.DUMFUNCTION("GOOGLETRANSLATE(A6591,""id"",""en"")"),"spilled crude oil spread water cilacap area suspected  tanker")</f>
        <v>spilled crude oil spread water cilacap area suspected  tanker</v>
      </c>
    </row>
    <row r="6416" spans="1:2" x14ac:dyDescent="0.2">
      <c r="A6416" s="1" t="s">
        <v>2317</v>
      </c>
      <c r="B6416" s="1" t="str">
        <f ca="1">IFERROR(__xludf.DUMFUNCTION("GOOGLETRANSLATE(A6592,""id"",""en"")"),"What are you doing buying  to list anjer or not playing gadgets after gasoline")</f>
        <v>What are you doing buying  to list anjer or not playing gadgets after gasoline</v>
      </c>
    </row>
    <row r="6417" spans="1:2" x14ac:dyDescent="0.2">
      <c r="A6417" s="1" t="s">
        <v>5777</v>
      </c>
      <c r="B6417" s="1" t="str">
        <f ca="1">IFERROR(__xludf.DUMFUNCTION("GOOGLETRANSLATE(A6593,""id"",""en"")"),"Buy Pertalite must use the   application, a citizen of DKI, just can't panic")</f>
        <v>Buy Pertalite must use the   application, a citizen of DKI, just can't panic</v>
      </c>
    </row>
    <row r="6418" spans="1:2" x14ac:dyDescent="0.2">
      <c r="A6418" s="1" t="s">
        <v>902</v>
      </c>
      <c r="B6418" s="1" t="str">
        <f ca="1">IFERROR(__xludf.DUMFUNCTION("GOOGLETRANSLATE(A6594,""id"",""en"")"),"The story of the husband's advice is a profession")</f>
        <v>The story of the husband's advice is a profession</v>
      </c>
    </row>
    <row r="6419" spans="1:2" x14ac:dyDescent="0.2">
      <c r="A6419" s="1" t="s">
        <v>903</v>
      </c>
      <c r="B6419" s="1" t="str">
        <f ca="1">IFERROR(__xludf.DUMFUNCTION("GOOGLETRANSLATE(A6595,""id"",""en"")"),"Drinking BBM Subsidies must use the application of nwajarlah Sasar which subsidized Golong Sultan Ntapi")</f>
        <v>Drinking BBM Subsidies must use the application of nwajarlah Sasar which subsidized Golong Sultan Ntapi</v>
      </c>
    </row>
    <row r="6420" spans="1:2" x14ac:dyDescent="0.2">
      <c r="A6420" s="1" t="s">
        <v>1122</v>
      </c>
      <c r="B6420" s="1" t="str">
        <f ca="1">IFERROR(__xludf.DUMFUNCTION("GOOGLETRANSLATE(A6596,""id"",""en"")")," Class")</f>
        <v xml:space="preserve"> Class</v>
      </c>
    </row>
    <row r="6421" spans="1:2" x14ac:dyDescent="0.2">
      <c r="A6421" s="1" t="s">
        <v>1123</v>
      </c>
      <c r="B6421" s="1" t="str">
        <f ca="1">IFERROR(__xludf.DUMFUNCTION("GOOGLETRANSLATE(A6597,""id"",""en"")"),"Fill in the solar pertalite using the application so that the subsidy is the direction of  loss")</f>
        <v>Fill in the solar pertalite using the application so that the subsidy is the direction of  loss</v>
      </c>
    </row>
    <row r="6422" spans="1:2" x14ac:dyDescent="0.2">
      <c r="A6422" s="1" t="s">
        <v>2318</v>
      </c>
      <c r="B6422" s="1" t="str">
        <f ca="1">IFERROR(__xludf.DUMFUNCTION("GOOGLETRANSLATE(A6598,""id"",""en"")"),"That's all 's transactions that use APLI")</f>
        <v>That's all 's transactions that use APLI</v>
      </c>
    </row>
    <row r="6423" spans="1:2" x14ac:dyDescent="0.2">
      <c r="A6423" s="1" t="s">
        <v>1125</v>
      </c>
      <c r="B6423" s="1" t="str">
        <f ca="1">IFERROR(__xludf.DUMFUNCTION("GOOGLETRANSLATE(A6599,""id"",""en"")"),"Alas  Adjust to buy subsidized fuel")</f>
        <v>Alas  Adjust to buy subsidized fuel</v>
      </c>
    </row>
    <row r="6424" spans="1:2" x14ac:dyDescent="0.2">
      <c r="A6424" s="1" t="s">
        <v>904</v>
      </c>
      <c r="B6424" s="1" t="str">
        <f ca="1">IFERROR(__xludf.DUMFUNCTION("GOOGLETRANSLATE(A6600,""id"",""en"")"),"Read Kadrun Media")</f>
        <v>Read Kadrun Media</v>
      </c>
    </row>
    <row r="6425" spans="1:2" x14ac:dyDescent="0.2">
      <c r="A6425" s="1" t="s">
        <v>5044</v>
      </c>
      <c r="B6425" s="1" t="str">
        <f ca="1">IFERROR(__xludf.DUMFUNCTION("GOOGLETRANSLATE(A6601,""id"",""en"")"),"instead of buying gasoline in the digital era of  ")</f>
        <v xml:space="preserve">instead of buying gasoline in the digital era of  </v>
      </c>
    </row>
    <row r="6426" spans="1:2" x14ac:dyDescent="0.2">
      <c r="A6426" s="1" t="s">
        <v>1127</v>
      </c>
      <c r="B6426" s="1" t="str">
        <f ca="1">IFERROR(__xludf.DUMFUNCTION("GOOGLETRANSLATE(A6603,""id"",""en"")"),"Kerjo  Ma'am")</f>
        <v>Kerjo  Ma'am</v>
      </c>
    </row>
    <row r="6427" spans="1:2" x14ac:dyDescent="0.2">
      <c r="A6427" s="1" t="s">
        <v>1128</v>
      </c>
      <c r="B6427" s="1" t="str">
        <f ca="1">IFERROR(__xludf.DUMFUNCTION("GOOGLETRANSLATE(A6604,""id"",""en"")")," Terpor Esg Operation Oil Refinery Solution to Build")</f>
        <v xml:space="preserve"> Terpor Esg Operation Oil Refinery Solution to Build</v>
      </c>
    </row>
    <row r="6428" spans="1:2" x14ac:dyDescent="0.2">
      <c r="A6428" s="1" t="s">
        <v>5778</v>
      </c>
      <c r="B6428" s="1" t="str">
        <f ca="1">IFERROR(__xludf.DUMFUNCTION("GOOGLETRANSLATE(A6605,""id"",""en"")"),"  Pertamax Bright Gas Nyuk joined")</f>
        <v xml:space="preserve">  Pertamax Bright Gas Nyuk joined</v>
      </c>
    </row>
    <row r="6429" spans="1:2" x14ac:dyDescent="0.2">
      <c r="A6429" s="1" t="s">
        <v>5046</v>
      </c>
      <c r="B6429" s="1" t="str">
        <f ca="1">IFERROR(__xludf.DUMFUNCTION("GOOGLETRANSLATE(A6606,""id"",""en"")")," friend in the morning testi buy gasoline using   tutor is easy to see easy")</f>
        <v xml:space="preserve"> friend in the morning testi buy gasoline using   tutor is easy to see easy</v>
      </c>
    </row>
    <row r="6430" spans="1:2" x14ac:dyDescent="0.2">
      <c r="A6430" s="1" t="s">
        <v>2319</v>
      </c>
      <c r="B6430" s="1" t="str">
        <f ca="1">IFERROR(__xludf.DUMFUNCTION("GOOGLETRANSLATE(A6607,""id"",""en"")"),"I suspect Ant  by belonging to the application of the good cooperation of the mop")</f>
        <v>I suspect Ant  by belonging to the application of the good cooperation of the mop</v>
      </c>
    </row>
    <row r="6431" spans="1:2" x14ac:dyDescent="0.2">
      <c r="A6431" s="1" t="s">
        <v>905</v>
      </c>
      <c r="B6431" s="1" t="str">
        <f ca="1">IFERROR(__xludf.DUMFUNCTION("GOOGLETRANSLATE(A6608,""id"",""en"")"),"Capture Opinion Solutions Mas NMIKAH SIMALAK FRUIT")</f>
        <v>Capture Opinion Solutions Mas NMIKAH SIMALAK FRUIT</v>
      </c>
    </row>
    <row r="6432" spans="1:2" x14ac:dyDescent="0.2">
      <c r="A6432" s="1" t="s">
        <v>5048</v>
      </c>
      <c r="B6432" s="1" t="str">
        <f ca="1">IFERROR(__xludf.DUMFUNCTION("GOOGLETRANSLATE(A6609,""id"",""en"")"),"List of   Sekk")</f>
        <v>List of   Sekk</v>
      </c>
    </row>
    <row r="6433" spans="1:2" x14ac:dyDescent="0.2">
      <c r="A6433" s="1" t="s">
        <v>5049</v>
      </c>
      <c r="B6433" s="1" t="str">
        <f ca="1">IFERROR(__xludf.DUMFUNCTION("GOOGLETRANSLATE(A6610,""id"",""en"")"),"apps   if remote areas are safe")</f>
        <v>apps   if remote areas are safe</v>
      </c>
    </row>
    <row r="6434" spans="1:2" x14ac:dyDescent="0.2">
      <c r="A6434" s="1" t="s">
        <v>5779</v>
      </c>
      <c r="B6434" s="1" t="str">
        <f ca="1">IFERROR(__xludf.DUMFUNCTION("GOOGLETRANSLATE(A6611,""id"",""en"")"),"yes, the people are rampant people who are told to use  who use solar and pertalite nmau bain but really kur")</f>
        <v>yes, the people are rampant people who are told to use  who use solar and pertalite nmau bain but really kur</v>
      </c>
    </row>
    <row r="6435" spans="1:2" x14ac:dyDescent="0.2">
      <c r="A6435" s="1" t="s">
        <v>1131</v>
      </c>
      <c r="B6435" s="1" t="str">
        <f ca="1">IFERROR(__xludf.DUMFUNCTION("GOOGLETRANSLATE(A6612,""id"",""en"")")," Patra Niaga Testing Pertalite Solar Trial for List")</f>
        <v xml:space="preserve"> Patra Niaga Testing Pertalite Solar Trial for List</v>
      </c>
    </row>
    <row r="6436" spans="1:2" x14ac:dyDescent="0.2">
      <c r="A6436" s="1" t="s">
        <v>906</v>
      </c>
      <c r="B6436" s="1" t="str">
        <f ca="1">IFERROR(__xludf.DUMFUNCTION("GOOGLETRANSLATE(A6613,""id"",""en"")"),"biosolar Rp. Npertalite Rp.")</f>
        <v>biosolar Rp. Npertalite Rp.</v>
      </c>
    </row>
    <row r="6437" spans="1:2" x14ac:dyDescent="0.2">
      <c r="A6437" s="1" t="s">
        <v>2320</v>
      </c>
      <c r="B6437" s="1" t="str">
        <f ca="1">IFERROR(__xludf.DUMFUNCTION("GOOGLETRANSLATE(A6614,""id"",""en"")"),"BPJS Nduwe App Dewe Pedulilat Protect Pis  Pis Sim Yo Nduwe Dewe Nfoto Application Delete")</f>
        <v>BPJS Nduwe App Dewe Pedulilat Protect Pis  Pis Sim Yo Nduwe Dewe Nfoto Application Delete</v>
      </c>
    </row>
    <row r="6438" spans="1:2" x14ac:dyDescent="0.2">
      <c r="A6438" s="1" t="s">
        <v>1133</v>
      </c>
      <c r="B6438" s="1" t="str">
        <f ca="1">IFERROR(__xludf.DUMFUNCTION("GOOGLETRANSLATE(A6615,""id"",""en"")"),"Play the cellphone area of ​​")</f>
        <v>Play the cellphone area of ​​</v>
      </c>
    </row>
    <row r="6439" spans="1:2" x14ac:dyDescent="0.2">
      <c r="A6439" s="1" t="s">
        <v>2321</v>
      </c>
      <c r="B6439" s="1" t="str">
        <f ca="1">IFERROR(__xludf.DUMFUNCTION("GOOGLETRANSLATE(A6616,""id"",""en"")")," Police Goals Go to Pertalite Sasar NPSA Pasngkan CCTV")</f>
        <v xml:space="preserve"> Police Goals Go to Pertalite Sasar NPSA Pasngkan CCTV</v>
      </c>
    </row>
    <row r="6440" spans="1:2" x14ac:dyDescent="0.2">
      <c r="A6440" s="1" t="s">
        <v>907</v>
      </c>
      <c r="B6440" s="1" t="str">
        <f ca="1">IFERROR(__xludf.DUMFUNCTION("GOOGLETRANSLATE(A6617,""id"",""en"")"),"see the quality of gasoline quality easy to pay for gasoline")</f>
        <v>see the quality of gasoline quality easy to pay for gasoline</v>
      </c>
    </row>
    <row r="6441" spans="1:2" x14ac:dyDescent="0.2">
      <c r="A6441" s="1" t="s">
        <v>1136</v>
      </c>
      <c r="B6441" s="1" t="str">
        <f ca="1">IFERROR(__xludf.DUMFUNCTION("GOOGLETRANSLATE(A6618,""id"",""en"")")," loss boss not hearing the proposal of oil experts")</f>
        <v xml:space="preserve"> loss boss not hearing the proposal of oil experts</v>
      </c>
    </row>
    <row r="6442" spans="1:2" x14ac:dyDescent="0.2">
      <c r="A6442" s="1" t="s">
        <v>286</v>
      </c>
      <c r="B6442" s="1" t="str">
        <f ca="1">IFERROR(__xludf.DUMFUNCTION("GOOGLETRANSLATE(A6619,""id"",""en"")"),"Skeptic Penototin Prime Minister Most Kicep")</f>
        <v>Skeptic Penototin Prime Minister Most Kicep</v>
      </c>
    </row>
    <row r="6443" spans="1:2" x14ac:dyDescent="0.2">
      <c r="A6443" s="1" t="s">
        <v>2322</v>
      </c>
      <c r="B6443" s="1" t="str">
        <f ca="1">IFERROR(__xludf.DUMFUNCTION("GOOGLETRANSLATE(A6620,""id"",""en"")"),"Followers Mincot who know Real Deception Recruitment  Re")</f>
        <v>Followers Mincot who know Real Deception Recruitment  Re</v>
      </c>
    </row>
    <row r="6444" spans="1:2" x14ac:dyDescent="0.2">
      <c r="A6444" s="1" t="s">
        <v>288</v>
      </c>
      <c r="B6444" s="1" t="str">
        <f ca="1">IFERROR(__xludf.DUMFUNCTION("GOOGLETRANSLATE(A6621,""id"",""en"")"),"TL AMBYA INDONESIA JAVA ISLAND")</f>
        <v>TL AMBYA INDONESIA JAVA ISLAND</v>
      </c>
    </row>
    <row r="6445" spans="1:2" x14ac:dyDescent="0.2">
      <c r="A6445" s="1" t="s">
        <v>289</v>
      </c>
      <c r="B6445" s="1" t="str">
        <f ca="1">IFERROR(__xludf.DUMFUNCTION("GOOGLETRANSLATE(A6622,""id"",""en"")"),"Cigarettes may")</f>
        <v>Cigarettes may</v>
      </c>
    </row>
    <row r="6446" spans="1:2" x14ac:dyDescent="0.2">
      <c r="A6446" s="1" t="s">
        <v>2323</v>
      </c>
      <c r="B6446" s="1" t="str">
        <f ca="1">IFERROR(__xludf.DUMFUNCTION("GOOGLETRANSLATE(A6623,""id"",""en"")"),"You are  not protected")</f>
        <v>You are  not protected</v>
      </c>
    </row>
    <row r="6447" spans="1:2" x14ac:dyDescent="0.2">
      <c r="A6447" s="1" t="s">
        <v>908</v>
      </c>
      <c r="B6447" s="1" t="str">
        <f ca="1">IFERROR(__xludf.DUMFUNCTION("GOOGLETRANSLATE(A6624,""id"",""en"")"),"Change Difficult to accept those who have been comfortable using pertalite using a close application")</f>
        <v>Change Difficult to accept those who have been comfortable using pertalite using a close application</v>
      </c>
    </row>
    <row r="6448" spans="1:2" x14ac:dyDescent="0.2">
      <c r="A6448" s="1" t="s">
        <v>909</v>
      </c>
      <c r="B6448" s="1" t="str">
        <f ca="1">IFERROR(__xludf.DUMFUNCTION("GOOGLETRANSLATE(A6625,""id"",""en"")"),"see the logo sis know the logo is not using a hand phone key")</f>
        <v>see the logo sis know the logo is not using a hand phone key</v>
      </c>
    </row>
    <row r="6449" spans="1:2" x14ac:dyDescent="0.2">
      <c r="A6449" s="1" t="s">
        <v>910</v>
      </c>
      <c r="B6449" s="1" t="str">
        <f ca="1">IFERROR(__xludf.DUMFUNCTION("GOOGLETRANSLATE(A6626,""id"",""en"")"),"the time you have to do the twitter, the AP is it, explain it directly, but it's really good")</f>
        <v>the time you have to do the twitter, the AP is it, explain it directly, but it's really good</v>
      </c>
    </row>
    <row r="6450" spans="1:2" x14ac:dyDescent="0.2">
      <c r="A6450" s="1" t="s">
        <v>5051</v>
      </c>
      <c r="B6450" s="1" t="str">
        <f ca="1">IFERROR(__xludf.DUMFUNCTION("GOOGLETRANSLATE(A6627,""id"",""en"")"),"just install   last night")</f>
        <v>just install   last night</v>
      </c>
    </row>
    <row r="6451" spans="1:2" x14ac:dyDescent="0.2">
      <c r="A6451" s="1" t="s">
        <v>5052</v>
      </c>
      <c r="B6451" s="1" t="str">
        <f ca="1">IFERROR(__xludf.DUMFUNCTION("GOOGLETRANSLATE(A6628,""id"",""en"")"),"Scan Barcode   Entrance")</f>
        <v>Scan Barcode   Entrance</v>
      </c>
    </row>
    <row r="6452" spans="1:2" x14ac:dyDescent="0.2">
      <c r="A6452" s="1" t="s">
        <v>1140</v>
      </c>
      <c r="B6452" s="1" t="str">
        <f ca="1">IFERROR(__xludf.DUMFUNCTION("GOOGLETRANSLATE(A6629,""id"",""en"")"),"This is really cool  is the result of the entry of the top strongest oil amp gas brand")</f>
        <v>This is really cool  is the result of the entry of the top strongest oil amp gas brand</v>
      </c>
    </row>
    <row r="6453" spans="1:2" x14ac:dyDescent="0.2">
      <c r="A6453" s="1" t="s">
        <v>292</v>
      </c>
      <c r="B6453" s="1" t="str">
        <f ca="1">IFERROR(__xludf.DUMFUNCTION("GOOGLETRANSLATE(A6630,""id"",""en"")"),"if that's the case")</f>
        <v>if that's the case</v>
      </c>
    </row>
    <row r="6454" spans="1:2" x14ac:dyDescent="0.2">
      <c r="A6454" s="1" t="s">
        <v>2324</v>
      </c>
      <c r="B6454" s="1" t="str">
        <f ca="1">IFERROR(__xludf.DUMFUNCTION("GOOGLETRANSLATE(A6631,""id"",""en"")"),"Believe  Loss Raising  Employees Salary Shouting Tid Loss")</f>
        <v>Believe  Loss Raising  Employees Salary Shouting Tid Loss</v>
      </c>
    </row>
    <row r="6455" spans="1:2" x14ac:dyDescent="0.2">
      <c r="A6455" s="1" t="s">
        <v>2325</v>
      </c>
      <c r="B6455" s="1" t="str">
        <f ca="1">IFERROR(__xludf.DUMFUNCTION("GOOGLETRANSLATE(A6632,""id"",""en"")")," Strong view  Pela's Functional Benefits")</f>
        <v xml:space="preserve"> Strong view  Pela's Functional Benefits</v>
      </c>
    </row>
    <row r="6456" spans="1:2" x14ac:dyDescent="0.2">
      <c r="A6456" s="1" t="s">
        <v>911</v>
      </c>
      <c r="B6456" s="1" t="str">
        <f ca="1">IFERROR(__xludf.DUMFUNCTION("GOOGLETRANSLATE(A6633,""id"",""en"")"),"you understand to buy a solar pertalite list")</f>
        <v>you understand to buy a solar pertalite list</v>
      </c>
    </row>
    <row r="6457" spans="1:2" x14ac:dyDescent="0.2">
      <c r="A6457" s="1" t="s">
        <v>2326</v>
      </c>
      <c r="B6457" s="1" t="str">
        <f ca="1">IFERROR(__xludf.DUMFUNCTION("GOOGLETRANSLATE(A6634,""id"",""en"")"),"Congratulations  Nterus Good Focus on Optimal Maximum Business")</f>
        <v>Congratulations  Nterus Good Focus on Optimal Maximum Business</v>
      </c>
    </row>
    <row r="6458" spans="1:2" x14ac:dyDescent="0.2">
      <c r="A6458" s="1" t="s">
        <v>1144</v>
      </c>
      <c r="B6458" s="1" t="str">
        <f ca="1">IFERROR(__xludf.DUMFUNCTION("GOOGLETRANSLATE(A6635,""id"",""en"")"),"good receive bli not like  just buying gasoline thousand")</f>
        <v>good receive bli not like  just buying gasoline thousand</v>
      </c>
    </row>
    <row r="6459" spans="1:2" x14ac:dyDescent="0.2">
      <c r="A6459" s="1" t="s">
        <v>5780</v>
      </c>
      <c r="B6459" s="1" t="str">
        <f ca="1">IFERROR(__xludf.DUMFUNCTION("GOOGLETRANSLATE(A6636,""id"",""en"")"),"wisely buy gasoline applications  fishing reacting people's trials")</f>
        <v>wisely buy gasoline applications  fishing reacting people's trials</v>
      </c>
    </row>
    <row r="6460" spans="1:2" x14ac:dyDescent="0.2">
      <c r="A6460" s="1" t="s">
        <v>1146</v>
      </c>
      <c r="B6460" s="1" t="str">
        <f ca="1">IFERROR(__xludf.DUMFUNCTION("GOOGLETRANSLATE(A6637,""id"",""en"")"),"'s loss uses the BBM consumer application buy BBM pom")</f>
        <v>'s loss uses the BBM consumer application buy BBM pom</v>
      </c>
    </row>
    <row r="6461" spans="1:2" x14ac:dyDescent="0.2">
      <c r="A6461" s="1" t="s">
        <v>912</v>
      </c>
      <c r="B6461" s="1" t="str">
        <f ca="1">IFERROR(__xludf.DUMFUNCTION("GOOGLETRANSLATE(A6638,""id"",""en"")"),"Jogja which supports the Coco Company Owned Company Operates Mi gas station application")</f>
        <v>Jogja which supports the Coco Company Owned Company Operates Mi gas station application</v>
      </c>
    </row>
    <row r="6462" spans="1:2" x14ac:dyDescent="0.2">
      <c r="A6462" s="1" t="s">
        <v>1148</v>
      </c>
      <c r="B6462" s="1" t="str">
        <f ca="1">IFERROR(__xludf.DUMFUNCTION("GOOGLETRANSLATE(A6639,""id"",""en"")"),"HAPPY  ENTERING TOP STRENGEST OIL AMP GAS BRAND")</f>
        <v>HAPPY  ENTERING TOP STRENGEST OIL AMP GAS BRAND</v>
      </c>
    </row>
    <row r="6463" spans="1:2" x14ac:dyDescent="0.2">
      <c r="A6463" s="1" t="s">
        <v>5056</v>
      </c>
      <c r="B6463" s="1" t="str">
        <f ca="1">IFERROR(__xludf.DUMFUNCTION("GOOGLETRANSLATE(A6640,""id"",""en"")"),"Donlod   Ram Gb is difficult")</f>
        <v>Donlod   Ram Gb is difficult</v>
      </c>
    </row>
    <row r="6464" spans="1:2" x14ac:dyDescent="0.2">
      <c r="A6464" s="1" t="s">
        <v>293</v>
      </c>
      <c r="B6464" s="1" t="str">
        <f ca="1">IFERROR(__xludf.DUMFUNCTION("GOOGLETRANSLATE(A6641,""id"",""en"")"),"Padang City Hall Android Bli Pertalite Mah")</f>
        <v>Padang City Hall Android Bli Pertalite Mah</v>
      </c>
    </row>
    <row r="6465" spans="1:2" x14ac:dyDescent="0.2">
      <c r="A6465" s="1" t="s">
        <v>1149</v>
      </c>
      <c r="B6465" s="1" t="str">
        <f ca="1">IFERROR(__xludf.DUMFUNCTION("GOOGLETRANSLATE(A6642,""id"",""en"")"),"easy  proof of good results")</f>
        <v>easy  proof of good results</v>
      </c>
    </row>
    <row r="6466" spans="1:2" x14ac:dyDescent="0.2">
      <c r="A6466" s="1" t="s">
        <v>1150</v>
      </c>
      <c r="B6466" s="1" t="str">
        <f ca="1">IFERROR(__xludf.DUMFUNCTION("GOOGLETRANSLATE(A6643,""id"",""en"")"),"aware of 's son, a very neat floor, wkwkwk")</f>
        <v>aware of 's son, a very neat floor, wkwkwk</v>
      </c>
    </row>
    <row r="6467" spans="1:2" x14ac:dyDescent="0.2">
      <c r="A6467" s="1" t="s">
        <v>1151</v>
      </c>
      <c r="B6467" s="1" t="str">
        <f ca="1">IFERROR(__xludf.DUMFUNCTION("GOOGLETRANSLATE(A6644,""id"",""en"")"),"Proud to achieve the results of  going forward  in front")</f>
        <v>Proud to achieve the results of  going forward  in front</v>
      </c>
    </row>
    <row r="6468" spans="1:2" x14ac:dyDescent="0.2">
      <c r="A6468" s="1" t="s">
        <v>294</v>
      </c>
      <c r="B6468" s="1" t="str">
        <f ca="1">IFERROR(__xludf.DUMFUNCTION("GOOGLETRANSLATE(A6645,""id"",""en"")"),"as a result of the lock cardboard all the crazy crazy adjust")</f>
        <v>as a result of the lock cardboard all the crazy crazy adjust</v>
      </c>
    </row>
    <row r="6469" spans="1:2" x14ac:dyDescent="0.2">
      <c r="A6469" s="1" t="s">
        <v>913</v>
      </c>
      <c r="B6469" s="1" t="str">
        <f ca="1">IFERROR(__xludf.DUMFUNCTION("GOOGLETRANSLATE(A6646,""id"",""en"")"),"Solar Premium Bengsin nari na nahuhan sia mah daek dibo")</f>
        <v>Solar Premium Bengsin nari na nahuhan sia mah daek dibo</v>
      </c>
    </row>
    <row r="6470" spans="1:2" x14ac:dyDescent="0.2">
      <c r="A6470" s="1" t="s">
        <v>296</v>
      </c>
      <c r="B6470" s="1" t="str">
        <f ca="1">IFERROR(__xludf.DUMFUNCTION("GOOGLETRANSLATE(A6647,""id"",""en"")"),"Long Bandung gas station")</f>
        <v>Long Bandung gas station</v>
      </c>
    </row>
    <row r="6471" spans="1:2" x14ac:dyDescent="0.2">
      <c r="A6471" s="1" t="s">
        <v>1152</v>
      </c>
      <c r="B6471" s="1" t="str">
        <f ca="1">IFERROR(__xludf.DUMFUNCTION("GOOGLETRANSLATE(A6648,""id"",""en"")"),"Jenen is really , the result of Brand Strength Index BSI")</f>
        <v>Jenen is really , the result of Brand Strength Index BSI</v>
      </c>
    </row>
    <row r="6472" spans="1:2" x14ac:dyDescent="0.2">
      <c r="A6472" s="1" t="s">
        <v>5778</v>
      </c>
      <c r="B6472" s="1" t="str">
        <f ca="1">IFERROR(__xludf.DUMFUNCTION("GOOGLETRANSLATE(A6649,""id"",""en"")"),"  Pertamax Bright Gas Nyuk joined")</f>
        <v xml:space="preserve">  Pertamax Bright Gas Nyuk joined</v>
      </c>
    </row>
    <row r="6473" spans="1:2" x14ac:dyDescent="0.2">
      <c r="A6473" s="1" t="s">
        <v>1153</v>
      </c>
      <c r="B6473" s="1" t="str">
        <f ca="1">IFERROR(__xludf.DUMFUNCTION("GOOGLETRANSLATE(A6650,""id"",""en"")"),"'s loss using the application")</f>
        <v>'s loss using the application</v>
      </c>
    </row>
    <row r="6474" spans="1:2" x14ac:dyDescent="0.2">
      <c r="A6474" s="1" t="s">
        <v>2327</v>
      </c>
      <c r="B6474" s="1" t="str">
        <f ca="1">IFERROR(__xludf.DUMFUNCTION("GOOGLETRANSLATE(A6651,""id"",""en"")"),"good luck believe  is good")</f>
        <v>good luck believe  is good</v>
      </c>
    </row>
    <row r="6475" spans="1:2" x14ac:dyDescent="0.2">
      <c r="A6475" s="1" t="s">
        <v>914</v>
      </c>
      <c r="B6475" s="1" t="str">
        <f ca="1">IFERROR(__xludf.DUMFUNCTION("GOOGLETRANSLATE(A6652,""id"",""en"")"),"aware of the BUMN contents not competent practitioners really understand Miny")</f>
        <v>aware of the BUMN contents not competent practitioners really understand Miny</v>
      </c>
    </row>
    <row r="6476" spans="1:2" x14ac:dyDescent="0.2">
      <c r="A6476" s="1" t="s">
        <v>1156</v>
      </c>
      <c r="B6476" s="1" t="str">
        <f ca="1">IFERROR(__xludf.DUMFUNCTION("GOOGLETRANSLATE(A6653,""id"",""en"")"),"'s motorbike is changing, you know")</f>
        <v>'s motorbike is changing, you know</v>
      </c>
    </row>
    <row r="6477" spans="1:2" x14ac:dyDescent="0.2">
      <c r="A6477" s="1" t="s">
        <v>2328</v>
      </c>
      <c r="B6477" s="1" t="str">
        <f ca="1">IFERROR(__xludf.DUMFUNCTION("GOOGLETRANSLATE(A6654,""id"",""en"")")," Toreh Achievement Proud of the results of the results of the World Strongest Oil")</f>
        <v xml:space="preserve"> Toreh Achievement Proud of the results of the results of the World Strongest Oil</v>
      </c>
    </row>
    <row r="6478" spans="1:2" x14ac:dyDescent="0.2">
      <c r="A6478" s="1" t="s">
        <v>5781</v>
      </c>
      <c r="B6478" s="1" t="str">
        <f ca="1">IFERROR(__xludf.DUMFUNCTION("GOOGLETRANSLATE(A6655,""id"",""en"")"),"orders to make apps better just care about the protection of   etc. so that it doesn't menu")</f>
        <v>orders to make apps better just care about the protection of   etc. so that it doesn't menu</v>
      </c>
    </row>
    <row r="6479" spans="1:2" x14ac:dyDescent="0.2">
      <c r="A6479" s="1" t="s">
        <v>5058</v>
      </c>
      <c r="B6479" s="1" t="str">
        <f ca="1">IFERROR(__xludf.DUMFUNCTION("GOOGLETRANSLATE(A6656,""id"",""en"")")," 's strange logic is insensitive to the people's lives via")</f>
        <v xml:space="preserve"> 's strange logic is insensitive to the people's lives via</v>
      </c>
    </row>
    <row r="6480" spans="1:2" x14ac:dyDescent="0.2">
      <c r="A6480" s="1" t="s">
        <v>297</v>
      </c>
      <c r="B6480" s="1" t="str">
        <f ca="1">IFERROR(__xludf.DUMFUNCTION("GOOGLETRANSLATE(A6657,""id"",""en"")"),"hahahaha Funny Buuangheettt Hayoo Answer Bbb")</f>
        <v>hahahaha Funny Buuangheettt Hayoo Answer Bbb</v>
      </c>
    </row>
    <row r="6481" spans="1:2" x14ac:dyDescent="0.2">
      <c r="A6481" s="1" t="s">
        <v>1158</v>
      </c>
      <c r="B6481" s="1" t="str">
        <f ca="1">IFERROR(__xludf.DUMFUNCTION("GOOGLETRANSLATE(A6658,""id"",""en"")")," results from ranking Brand Finance Top Strongest Oil Amp Gas Brand ranking")</f>
        <v xml:space="preserve"> results from ranking Brand Finance Top Strongest Oil Amp Gas Brand ranking</v>
      </c>
    </row>
    <row r="6482" spans="1:2" x14ac:dyDescent="0.2">
      <c r="A6482" s="1" t="s">
        <v>2329</v>
      </c>
      <c r="B6482" s="1" t="str">
        <f ca="1">IFERROR(__xludf.DUMFUNCTION("GOOGLETRANSLATE(A6659,""id"",""en"")")," The Standard Standard Playing Playing Wa An SPBU OPEN")</f>
        <v xml:space="preserve"> The Standard Standard Playing Playing Wa An SPBU OPEN</v>
      </c>
    </row>
    <row r="6483" spans="1:2" x14ac:dyDescent="0.2">
      <c r="A6483" s="1" t="s">
        <v>1159</v>
      </c>
      <c r="B6483" s="1" t="str">
        <f ca="1">IFERROR(__xludf.DUMFUNCTION("GOOGLETRANSLATE(A6660,""id"",""en"")"),"Sing, fortunately,  pjbt bro")</f>
        <v>Sing, fortunately,  pjbt bro</v>
      </c>
    </row>
    <row r="6484" spans="1:2" x14ac:dyDescent="0.2">
      <c r="A6484" s="1" t="s">
        <v>5782</v>
      </c>
      <c r="B6484" s="1" t="str">
        <f ca="1">IFERROR(__xludf.DUMFUNCTION("GOOGLETRANSLATE(A6661,""id"",""en"")"),"Buy Cooking Oil Cares Protection Nmau Buy Gasoline Application   OK")</f>
        <v>Buy Cooking Oil Cares Protection Nmau Buy Gasoline Application   OK</v>
      </c>
    </row>
    <row r="6485" spans="1:2" x14ac:dyDescent="0.2">
      <c r="A6485" s="1" t="s">
        <v>1160</v>
      </c>
      <c r="B6485" s="1" t="str">
        <f ca="1">IFERROR(__xludf.DUMFUNCTION("GOOGLETRANSLATE(A6662,""id"",""en"")"),"The country in  is full of responsibility")</f>
        <v>The country in  is full of responsibility</v>
      </c>
    </row>
    <row r="6486" spans="1:2" x14ac:dyDescent="0.2">
      <c r="A6486" s="1" t="s">
        <v>5061</v>
      </c>
      <c r="B6486" s="1" t="str">
        <f ca="1">IFERROR(__xludf.DUMFUNCTION("GOOGLETRANSLATE(A6663,""id"",""en"")"),"'s plan for the limit of buying fuel subsidies for solar pertalite with  applications")</f>
        <v>'s plan for the limit of buying fuel subsidies for solar pertalite with  applications</v>
      </c>
    </row>
    <row r="6487" spans="1:2" x14ac:dyDescent="0.2">
      <c r="A6487" s="1" t="s">
        <v>1161</v>
      </c>
      <c r="B6487" s="1" t="str">
        <f ca="1">IFERROR(__xludf.DUMFUNCTION("GOOGLETRANSLATE(A6664,""id"",""en"")"),"uncle noted  fortunately or not")</f>
        <v>uncle noted  fortunately or not</v>
      </c>
    </row>
    <row r="6488" spans="1:2" x14ac:dyDescent="0.2">
      <c r="A6488" s="1" t="s">
        <v>298</v>
      </c>
      <c r="B6488" s="1" t="str">
        <f ca="1">IFERROR(__xludf.DUMFUNCTION("GOOGLETRANSLATE(A6665,""id"",""en"")"),"Just stuck")</f>
        <v>Just stuck</v>
      </c>
    </row>
    <row r="6489" spans="1:2" x14ac:dyDescent="0.2">
      <c r="A6489" s="1" t="s">
        <v>299</v>
      </c>
      <c r="B6489" s="1" t="str">
        <f ca="1">IFERROR(__xludf.DUMFUNCTION("GOOGLETRANSLATE(A6666,""id"",""en"")"),"Data does not sell")</f>
        <v>Data does not sell</v>
      </c>
    </row>
    <row r="6490" spans="1:2" x14ac:dyDescent="0.2">
      <c r="A6490" s="1" t="s">
        <v>2330</v>
      </c>
      <c r="B6490" s="1" t="str">
        <f ca="1">IFERROR(__xludf.DUMFUNCTION("GOOGLETRANSLATE(A6667,""id"",""en"")"),"maybe this is how to do the  officials, so that the target is to use the internet of thi")</f>
        <v>maybe this is how to do the  officials, so that the target is to use the internet of thi</v>
      </c>
    </row>
    <row r="6491" spans="1:2" x14ac:dyDescent="0.2">
      <c r="A6491" s="1" t="s">
        <v>915</v>
      </c>
      <c r="B6491" s="1" t="str">
        <f ca="1">IFERROR(__xludf.DUMFUNCTION("GOOGLETRANSLATE(A6668,""id"",""en"")"),"the motorbike is not a motorcycle busway jaklingko if Batavia area is also jaklingko kal")</f>
        <v>the motorbike is not a motorcycle busway jaklingko if Batavia area is also jaklingko kal</v>
      </c>
    </row>
    <row r="6492" spans="1:2" x14ac:dyDescent="0.2">
      <c r="A6492" s="1" t="s">
        <v>916</v>
      </c>
      <c r="B6492" s="1" t="str">
        <f ca="1">IFERROR(__xludf.DUMFUNCTION("GOOGLETRANSLATE(A6669,""id"",""en"")"),"just criteria for the right to use pertalite basic articles of the official mamit")</f>
        <v>just criteria for the right to use pertalite basic articles of the official mamit</v>
      </c>
    </row>
    <row r="6493" spans="1:2" x14ac:dyDescent="0.2">
      <c r="A6493" s="1" t="s">
        <v>1164</v>
      </c>
      <c r="B6493" s="1" t="str">
        <f ca="1">IFERROR(__xludf.DUMFUNCTION("GOOGLETRANSLATE(A6670,""id"",""en"")")," Loss BUMN Work Work Loss Loss Loss")</f>
        <v xml:space="preserve"> Loss BUMN Work Work Loss Loss Loss</v>
      </c>
    </row>
    <row r="6494" spans="1:2" x14ac:dyDescent="0.2">
      <c r="A6494" s="1" t="s">
        <v>1165</v>
      </c>
      <c r="B6494" s="1" t="str">
        <f ca="1">IFERROR(__xludf.DUMFUNCTION("GOOGLETRANSLATE(A6671,""id"",""en"")"),"Prisoners Shame in 's Managing Director")</f>
        <v>Prisoners Shame in 's Managing Director</v>
      </c>
    </row>
    <row r="6495" spans="1:2" x14ac:dyDescent="0.2">
      <c r="A6495" s="1" t="s">
        <v>1166</v>
      </c>
      <c r="B6495" s="1" t="str">
        <f ca="1">IFERROR(__xludf.DUMFUNCTION("GOOGLETRANSLATE(A6672,""id"",""en"")"),"Apas  Fomo is not completely digital")</f>
        <v>Apas  Fomo is not completely digital</v>
      </c>
    </row>
    <row r="6496" spans="1:2" x14ac:dyDescent="0.2">
      <c r="A6496" s="1" t="s">
        <v>5783</v>
      </c>
      <c r="B6496" s="1" t="str">
        <f ca="1">IFERROR(__xludf.DUMFUNCTION("GOOGLETRANSLATE(A6673,""id"",""en"")")," fortunately buying a download  billions")</f>
        <v xml:space="preserve"> fortunately buying a download  billions</v>
      </c>
    </row>
    <row r="6497" spans="1:2" x14ac:dyDescent="0.2">
      <c r="A6497" s="1" t="s">
        <v>1167</v>
      </c>
      <c r="B6497" s="1" t="str">
        <f ca="1">IFERROR(__xludf.DUMFUNCTION("GOOGLETRANSLATE(A6674,""id"",""en"")"),"tuh hindar selling gasoline retail when it is so  knows the data run out of gasoline")</f>
        <v>tuh hindar selling gasoline retail when it is so  knows the data run out of gasoline</v>
      </c>
    </row>
    <row r="6498" spans="1:2" x14ac:dyDescent="0.2">
      <c r="A6498" s="1" t="s">
        <v>917</v>
      </c>
      <c r="B6498" s="1" t="str">
        <f ca="1">IFERROR(__xludf.DUMFUNCTION("GOOGLETRANSLATE(A6675,""id"",""en"")"),"Selling Paksin, why not selling PLOROTIN PLOROTIN PERTALITE, Slowly Abi")</f>
        <v>Selling Paksin, why not selling PLOROTIN PLOROTIN PERTALITE, Slowly Abi</v>
      </c>
    </row>
    <row r="6499" spans="1:2" x14ac:dyDescent="0.2">
      <c r="A6499" s="1" t="s">
        <v>918</v>
      </c>
      <c r="B6499" s="1" t="str">
        <f ca="1">IFERROR(__xludf.DUMFUNCTION("GOOGLETRANSLATE(A6676,""id"",""en"")"),"The aircraft is also on the cellphone, ready for a special wifi")</f>
        <v>The aircraft is also on the cellphone, ready for a special wifi</v>
      </c>
    </row>
    <row r="6500" spans="1:2" x14ac:dyDescent="0.2">
      <c r="A6500" s="1" t="s">
        <v>919</v>
      </c>
      <c r="B6500" s="1" t="str">
        <f ca="1">IFERROR(__xludf.DUMFUNCTION("GOOGLETRANSLATE(A6677,""id"",""en"")"),"It's not a function of tracking if you go to memorize")</f>
        <v>It's not a function of tracking if you go to memorize</v>
      </c>
    </row>
    <row r="6501" spans="1:2" x14ac:dyDescent="0.2">
      <c r="A6501" s="1" t="s">
        <v>302</v>
      </c>
      <c r="B6501" s="1" t="str">
        <f ca="1">IFERROR(__xludf.DUMFUNCTION("GOOGLETRANSLATE(A6678,""id"",""en"")"),"taik taik")</f>
        <v>taik taik</v>
      </c>
    </row>
    <row r="6502" spans="1:2" x14ac:dyDescent="0.2">
      <c r="A6502" s="1" t="s">
        <v>2331</v>
      </c>
      <c r="B6502" s="1" t="str">
        <f ca="1">IFERROR(__xludf.DUMFUNCTION("GOOGLETRANSLATE(A6679,""id"",""en"")"),"The right not to motorcycle Turns Umr workers need to be 's dare rights")</f>
        <v>The right not to motorcycle Turns Umr workers need to be 's dare rights</v>
      </c>
    </row>
    <row r="6503" spans="1:2" x14ac:dyDescent="0.2">
      <c r="A6503" s="1" t="s">
        <v>5784</v>
      </c>
      <c r="B6503" s="1" t="str">
        <f ca="1">IFERROR(__xludf.DUMFUNCTION("GOOGLETRANSLATE(A6680,""id"",""en"")")," Indications Not Owned Accurate Data TTG for BBM Subsidies for pertam Application")</f>
        <v xml:space="preserve"> Indications Not Owned Accurate Data TTG for BBM Subsidies for pertam Application</v>
      </c>
    </row>
    <row r="6504" spans="1:2" x14ac:dyDescent="0.2">
      <c r="A6504" s="1" t="s">
        <v>1170</v>
      </c>
      <c r="B6504" s="1" t="str">
        <f ca="1">IFERROR(__xludf.DUMFUNCTION("GOOGLETRANSLATE(A6681,""id"",""en"")"),"the limit of fuel consumption subsidized  Realization Urges to buy Pertalite List July HTT")</f>
        <v>the limit of fuel consumption subsidized  Realization Urges to buy Pertalite List July HTT</v>
      </c>
    </row>
    <row r="6505" spans="1:2" x14ac:dyDescent="0.2">
      <c r="A6505" s="1" t="s">
        <v>303</v>
      </c>
      <c r="B6505" s="1" t="str">
        <f ca="1">IFERROR(__xludf.DUMFUNCTION("GOOGLETRANSLATE(A6682,""id"",""en"")"),"migrant")</f>
        <v>migrant</v>
      </c>
    </row>
    <row r="6506" spans="1:2" x14ac:dyDescent="0.2">
      <c r="A6506" s="1" t="s">
        <v>5785</v>
      </c>
      <c r="B6506" s="1" t="str">
        <f ca="1">IFERROR(__xludf.DUMFUNCTION("GOOGLETRANSLATE(A6683,""id"",""en"")"),"'s Managing Director is a political opponent until his heart attacked using the issue of  he was not interested")</f>
        <v>'s Managing Director is a political opponent until his heart attacked using the issue of  he was not interested</v>
      </c>
    </row>
    <row r="6507" spans="1:2" x14ac:dyDescent="0.2">
      <c r="A6507" s="1" t="s">
        <v>5786</v>
      </c>
      <c r="B6507" s="1" t="str">
        <f ca="1">IFERROR(__xludf.DUMFUNCTION("GOOGLETRANSLATE(A6684,""id"",""en"")"),"Npadah already used the  application already yah why not a gift like that ula")</f>
        <v>Npadah already used the  application already yah why not a gift like that ula</v>
      </c>
    </row>
    <row r="6508" spans="1:2" x14ac:dyDescent="0.2">
      <c r="A6508" s="1" t="s">
        <v>5787</v>
      </c>
      <c r="B6508" s="1" t="str">
        <f ca="1">IFERROR(__xludf.DUMFUNCTION("GOOGLETRANSLATE(A6685,""id"",""en"")")," Bright Gas Pertamax Pertamanasik Giveaway rjbt  Nayo")</f>
        <v xml:space="preserve"> Bright Gas Pertamax Pertamanasik Giveaway rjbt  Nayo</v>
      </c>
    </row>
    <row r="6509" spans="1:2" x14ac:dyDescent="0.2">
      <c r="A6509" s="1" t="s">
        <v>304</v>
      </c>
      <c r="B6509" s="1" t="str">
        <f ca="1">IFERROR(__xludf.DUMFUNCTION("GOOGLETRANSLATE(A6686,""id"",""en"")"),"Goblok if set")</f>
        <v>Goblok if set</v>
      </c>
    </row>
    <row r="6510" spans="1:2" x14ac:dyDescent="0.2">
      <c r="A6510" s="1" t="s">
        <v>305</v>
      </c>
      <c r="B6510" s="1" t="str">
        <f ca="1">IFERROR(__xludf.DUMFUNCTION("GOOGLETRANSLATE(A6687,""id"",""en"")"),"Paying bombs using Emoney is already weird, just buy the right application")</f>
        <v>Paying bombs using Emoney is already weird, just buy the right application</v>
      </c>
    </row>
    <row r="6511" spans="1:2" x14ac:dyDescent="0.2">
      <c r="A6511" s="1" t="s">
        <v>2332</v>
      </c>
      <c r="B6511" s="1" t="str">
        <f ca="1">IFERROR(__xludf.DUMFUNCTION("GOOGLETRANSLATE(A6688,""id"",""en"")"),"The barcod scan assignment is  entrance to buy the contents of the AP data")</f>
        <v>The barcod scan assignment is  entrance to buy the contents of the AP data</v>
      </c>
    </row>
    <row r="6512" spans="1:2" x14ac:dyDescent="0.2">
      <c r="A6512" s="1" t="s">
        <v>2333</v>
      </c>
      <c r="B6512" s="1" t="str">
        <f ca="1">IFERROR(__xludf.DUMFUNCTION("GOOGLETRANSLATE(A6689,""id"",""en"")"),"when not receiving UTBK N Ulbi Telkom Purwokerto Nhechaty")</f>
        <v>when not receiving UTBK N Ulbi Telkom Purwokerto Nhechaty</v>
      </c>
    </row>
    <row r="6513" spans="1:2" x14ac:dyDescent="0.2">
      <c r="A6513" s="1" t="s">
        <v>2334</v>
      </c>
      <c r="B6513" s="1" t="str">
        <f ca="1">IFERROR(__xludf.DUMFUNCTION("GOOGLETRANSLATE(A6690,""id"",""en"")"),"Those who told you to use 's app or not, were the wrong Kalimantan province")</f>
        <v>Those who told you to use 's app or not, were the wrong Kalimantan province</v>
      </c>
    </row>
    <row r="6514" spans="1:2" x14ac:dyDescent="0.2">
      <c r="A6514" s="1" t="s">
        <v>2335</v>
      </c>
      <c r="B6514" s="1" t="str">
        <f ca="1">IFERROR(__xludf.DUMFUNCTION("GOOGLETRANSLATE(A6692,""id"",""en"")"),"You're ambiguous, not Min,  doesn't play a cellphone but you use a cellphone to buy be")</f>
        <v>You're ambiguous, not Min,  doesn't play a cellphone but you use a cellphone to buy be</v>
      </c>
    </row>
    <row r="6515" spans="1:2" x14ac:dyDescent="0.2">
      <c r="A6515" s="1" t="s">
        <v>5788</v>
      </c>
      <c r="B6515" s="1" t="str">
        <f ca="1">IFERROR(__xludf.DUMFUNCTION("GOOGLETRANSLATE(A6693,""id"",""en"")"),"I can't use  , you know, it's already registered when it reset the password, it's a profile")</f>
        <v>I can't use  , you know, it's already registered when it reset the password, it's a profile</v>
      </c>
    </row>
    <row r="6516" spans="1:2" x14ac:dyDescent="0.2">
      <c r="A6516" s="1" t="s">
        <v>5789</v>
      </c>
      <c r="B6516" s="1" t="str">
        <f ca="1">IFERROR(__xludf.DUMFUNCTION("GOOGLETRANSLATE(A6694,""id"",""en"")"),"Rek Nek Ape Tumbas Gasoline Iku Kudu Nduwe apk   detected by the gas station to fill in the be")</f>
        <v>Rek Nek Ape Tumbas Gasoline Iku Kudu Nduwe apk   detected by the gas station to fill in the be</v>
      </c>
    </row>
    <row r="6517" spans="1:2" x14ac:dyDescent="0.2">
      <c r="A6517" s="1" t="s">
        <v>307</v>
      </c>
      <c r="B6517" s="1" t="str">
        <f ca="1">IFERROR(__xludf.DUMFUNCTION("GOOGLETRANSLATE(A6695,""id"",""en"")"),"the provincial stages of the provincial process that choose success")</f>
        <v>the provincial stages of the provincial process that choose success</v>
      </c>
    </row>
    <row r="6518" spans="1:2" x14ac:dyDescent="0.2">
      <c r="A6518" s="1" t="s">
        <v>5790</v>
      </c>
      <c r="B6518" s="1" t="str">
        <f ca="1">IFERROR(__xludf.DUMFUNCTION("GOOGLETRANSLATE(A6696,""id"",""en"")"),"Use the protected guard, using  , buy the Nik Arep Ngging Oil, Nggo Bokeryok NBTW Ka")</f>
        <v>Use the protected guard, using  , buy the Nik Arep Ngging Oil, Nggo Bokeryok NBTW Ka</v>
      </c>
    </row>
    <row r="6519" spans="1:2" x14ac:dyDescent="0.2">
      <c r="A6519" s="1" t="s">
        <v>920</v>
      </c>
      <c r="B6519" s="1" t="str">
        <f ca="1">IFERROR(__xludf.DUMFUNCTION("GOOGLETRANSLATE(A6697,""id"",""en"")"),"the headline of using a tug of reading is misused by the title")</f>
        <v>the headline of using a tug of reading is misused by the title</v>
      </c>
    </row>
    <row r="6520" spans="1:2" x14ac:dyDescent="0.2">
      <c r="A6520" s="1" t="s">
        <v>921</v>
      </c>
      <c r="B6520" s="1" t="str">
        <f ca="1">IFERROR(__xludf.DUMFUNCTION("GOOGLETRANSLATE(A6698,""id"",""en"")"),"Emg clearly, bang.")</f>
        <v>Emg clearly, bang.</v>
      </c>
    </row>
    <row r="6521" spans="1:2" x14ac:dyDescent="0.2">
      <c r="A6521" s="1" t="s">
        <v>1178</v>
      </c>
      <c r="B6521" s="1" t="str">
        <f ca="1">IFERROR(__xludf.DUMFUNCTION("GOOGLETRANSLATE(A6699,""id"",""en"")"),"Cool Cokk  Enter Strongest Oil Gas")</f>
        <v>Cool Cokk  Enter Strongest Oil Gas</v>
      </c>
    </row>
    <row r="6522" spans="1:2" x14ac:dyDescent="0.2">
      <c r="A6522" s="1" t="s">
        <v>922</v>
      </c>
      <c r="B6522" s="1" t="str">
        <f ca="1">IFERROR(__xludf.DUMFUNCTION("GOOGLETRANSLATE(A6700,""id"",""en"")"),"Test Phase Gaes Test Yuk Suksesa")</f>
        <v>Test Phase Gaes Test Yuk Suksesa</v>
      </c>
    </row>
    <row r="6523" spans="1:2" x14ac:dyDescent="0.2">
      <c r="A6523" s="1" t="s">
        <v>5074</v>
      </c>
      <c r="B6523" s="1" t="str">
        <f ca="1">IFERROR(__xludf.DUMFUNCTION("GOOGLETRANSLATE(A6701,""id"",""en"")"),"so you have to make a   account if you buy pertalite")</f>
        <v>so you have to make a   account if you buy pertalite</v>
      </c>
    </row>
    <row r="6524" spans="1:2" x14ac:dyDescent="0.2">
      <c r="A6524" s="1" t="s">
        <v>5791</v>
      </c>
      <c r="B6524" s="1" t="str">
        <f ca="1">IFERROR(__xludf.DUMFUNCTION("GOOGLETRANSLATE(A6702,""id"",""en"")"),"Infographic List of Complete  Applications Regarding Inews RCTI  Infographics")</f>
        <v>Infographic List of Complete  Applications Regarding Inews RCTI  Infographics</v>
      </c>
    </row>
    <row r="6525" spans="1:2" x14ac:dyDescent="0.2">
      <c r="A6525" s="1" t="s">
        <v>309</v>
      </c>
      <c r="B6525" s="1" t="str">
        <f ca="1">IFERROR(__xludf.DUMFUNCTION("GOOGLETRANSLATE(A6703,""id"",""en"")"),"if not a cellphone shouts tai tai or not")</f>
        <v>if not a cellphone shouts tai tai or not</v>
      </c>
    </row>
    <row r="6526" spans="1:2" x14ac:dyDescent="0.2">
      <c r="A6526" s="1" t="s">
        <v>923</v>
      </c>
      <c r="B6526" s="1" t="str">
        <f ca="1">IFERROR(__xludf.DUMFUNCTION("GOOGLETRANSLATE(A6704,""id"",""en"")"),"if the model pays the gin, the pom can also provide it")</f>
        <v>if the model pays the gin, the pom can also provide it</v>
      </c>
    </row>
    <row r="6527" spans="1:2" x14ac:dyDescent="0.2">
      <c r="A6527" s="1" t="s">
        <v>1182</v>
      </c>
      <c r="B6527" s="1" t="str">
        <f ca="1">IFERROR(__xludf.DUMFUNCTION("GOOGLETRANSLATE(A6705,""id"",""en"")"),"UMKM Successful Gaet Hotel Hotel Central Java DIY BUSINESS RP RP  EnergyToday")</f>
        <v>UMKM Successful Gaet Hotel Hotel Central Java DIY BUSINESS RP RP  EnergyToday</v>
      </c>
    </row>
    <row r="6528" spans="1:2" x14ac:dyDescent="0.2">
      <c r="A6528" s="1" t="s">
        <v>310</v>
      </c>
      <c r="B6528" s="1" t="str">
        <f ca="1">IFERROR(__xludf.DUMFUNCTION("GOOGLETRANSLATE(A6706,""id"",""en"")"),"Meeting Task Force Esc Indonesia Results of the Wise Design of World Energy Transition")</f>
        <v>Meeting Task Force Esc Indonesia Results of the Wise Design of World Energy Transition</v>
      </c>
    </row>
    <row r="6529" spans="1:2" x14ac:dyDescent="0.2">
      <c r="A6529" s="1" t="s">
        <v>2336</v>
      </c>
      <c r="B6529" s="1" t="str">
        <f ca="1">IFERROR(__xludf.DUMFUNCTION("GOOGLETRANSLATE(A6707,""id"",""en"")"),"Cool  Results Reach Brand Rating AAA Standard High Rating")</f>
        <v>Cool  Results Reach Brand Rating AAA Standard High Rating</v>
      </c>
    </row>
    <row r="6530" spans="1:2" x14ac:dyDescent="0.2">
      <c r="A6530" s="1" t="s">
        <v>311</v>
      </c>
      <c r="B6530" s="1" t="str">
        <f ca="1">IFERROR(__xludf.DUMFUNCTION("GOOGLETRANSLATE(A6708,""id"",""en"")"),"Pertagas Group Boyong Six Prices for the CSR Bangun Desa Extract Awards")</f>
        <v>Pertagas Group Boyong Six Prices for the CSR Bangun Desa Extract Awards</v>
      </c>
    </row>
    <row r="6531" spans="1:2" x14ac:dyDescent="0.2">
      <c r="A6531" s="1" t="s">
        <v>1184</v>
      </c>
      <c r="B6531" s="1" t="str">
        <f ca="1">IFERROR(__xludf.DUMFUNCTION("GOOGLETRANSLATE(A6709,""id"",""en"")")," Passed Sanctions Closing Paster gas station  EnergyToday Naughty")</f>
        <v xml:space="preserve"> Passed Sanctions Closing Paster gas station  EnergyToday Naughty</v>
      </c>
    </row>
    <row r="6532" spans="1:2" x14ac:dyDescent="0.2">
      <c r="A6532" s="1" t="s">
        <v>1185</v>
      </c>
      <c r="B6532" s="1" t="str">
        <f ca="1">IFERROR(__xludf.DUMFUNCTION("GOOGLETRANSLATE(A6710,""id"",""en"")"),"PDC Achieves CSR Kembang Desa Advanced PRICE Awards  EnergyToda")</f>
        <v>PDC Achieves CSR Kembang Desa Advanced PRICE Awards  EnergyToda</v>
      </c>
    </row>
    <row r="6533" spans="1:2" x14ac:dyDescent="0.2">
      <c r="A6533" s="1" t="s">
        <v>2337</v>
      </c>
      <c r="B6533" s="1" t="str">
        <f ca="1">IFERROR(__xludf.DUMFUNCTION("GOOGLETRANSLATE(A6711,""id"",""en"")"),"send greetings to tell the age of the life of independence Indonesia times  stupid")</f>
        <v>send greetings to tell the age of the life of independence Indonesia times  stupid</v>
      </c>
    </row>
    <row r="6534" spans="1:2" x14ac:dyDescent="0.2">
      <c r="A6534" s="1" t="s">
        <v>5792</v>
      </c>
      <c r="B6534" s="1" t="str">
        <f ca="1">IFERROR(__xludf.DUMFUNCTION("GOOGLETRANSLATE(A6712,""id"",""en"")"),"If you really buy Pertalite, you have to use the   application,  must provide a finger")</f>
        <v>If you really buy Pertalite, you have to use the   application,  must provide a finger</v>
      </c>
    </row>
    <row r="6535" spans="1:2" x14ac:dyDescent="0.2">
      <c r="A6535" s="1" t="s">
        <v>312</v>
      </c>
      <c r="B6535" s="1" t="str">
        <f ca="1">IFERROR(__xludf.DUMFUNCTION("GOOGLETRANSLATE(A6713,""id"",""en"")"),"looking for adding to the loss of the top application really")</f>
        <v>looking for adding to the loss of the top application really</v>
      </c>
    </row>
    <row r="6536" spans="1:2" x14ac:dyDescent="0.2">
      <c r="A6536" s="1" t="s">
        <v>5078</v>
      </c>
      <c r="B6536" s="1" t="str">
        <f ca="1">IFERROR(__xludf.DUMFUNCTION("GOOGLETRANSLATE(A6714,""id"",""en"")"),"Come download the  application")</f>
        <v>Come download the  application</v>
      </c>
    </row>
    <row r="6537" spans="1:2" x14ac:dyDescent="0.2">
      <c r="A6537" s="1" t="s">
        <v>2338</v>
      </c>
      <c r="B6537" s="1" t="str">
        <f ca="1">IFERROR(__xludf.DUMFUNCTION("GOOGLETRANSLATE(A6715,""id"",""en"")"),"Happy , hope that  is proud again")</f>
        <v>Happy , hope that  is proud again</v>
      </c>
    </row>
    <row r="6538" spans="1:2" x14ac:dyDescent="0.2">
      <c r="A6538" s="1" t="s">
        <v>5079</v>
      </c>
      <c r="B6538" s="1" t="str">
        <f ca="1">IFERROR(__xludf.DUMFUNCTION("GOOGLETRANSLATE(A6716,""id"",""en"")")," is obliged to buy BBM Types of Pertalite Solar Subsidies List of  July")</f>
        <v xml:space="preserve"> is obliged to buy BBM Types of Pertalite Solar Subsidies List of  July</v>
      </c>
    </row>
    <row r="6539" spans="1:2" x14ac:dyDescent="0.2">
      <c r="A6539" s="1" t="s">
        <v>1188</v>
      </c>
      <c r="B6539" s="1" t="str">
        <f ca="1">IFERROR(__xludf.DUMFUNCTION("GOOGLETRANSLATE(A6717,""id"",""en"")"),"Buy Pertalite  Consumer List")</f>
        <v>Buy Pertalite  Consumer List</v>
      </c>
    </row>
    <row r="6540" spans="1:2" x14ac:dyDescent="0.2">
      <c r="A6540" s="1" t="s">
        <v>5793</v>
      </c>
      <c r="B6540" s="1" t="str">
        <f ca="1">IFERROR(__xludf.DUMFUNCTION("GOOGLETRANSLATE(A6718,""id"",""en"")")," is obliged to buy BBM Types of Pertalite Solar Subsidies List of  July Beg")</f>
        <v xml:space="preserve"> is obliged to buy BBM Types of Pertalite Solar Subsidies List of  July Beg</v>
      </c>
    </row>
    <row r="6541" spans="1:2" x14ac:dyDescent="0.2">
      <c r="A6541" s="1" t="s">
        <v>1189</v>
      </c>
      <c r="B6541" s="1" t="str">
        <f ca="1">IFERROR(__xludf.DUMFUNCTION("GOOGLETRANSLATE(A6719,""id"",""en"")"),"I thought  was the result of the AAA Brand Rating Happy  Proud ")</f>
        <v xml:space="preserve">I thought  was the result of the AAA Brand Rating Happy  Proud </v>
      </c>
    </row>
    <row r="6542" spans="1:2" x14ac:dyDescent="0.2">
      <c r="A6542" s="1" t="s">
        <v>1190</v>
      </c>
      <c r="B6542" s="1" t="str">
        <f ca="1">IFERROR(__xludf.DUMFUNCTION("GOOGLETRANSLATE(A6720,""id"",""en"")")," poster")</f>
        <v xml:space="preserve"> poster</v>
      </c>
    </row>
    <row r="6543" spans="1:2" x14ac:dyDescent="0.2">
      <c r="A6543" s="1" t="s">
        <v>924</v>
      </c>
      <c r="B6543" s="1" t="str">
        <f ca="1">IFERROR(__xludf.DUMFUNCTION("GOOGLETRANSLATE(A6721,""id"",""en"")"),"the country yo really ngene Rakyate deliberately made it difficult to be lazy people")</f>
        <v>the country yo really ngene Rakyate deliberately made it difficult to be lazy people</v>
      </c>
    </row>
    <row r="6544" spans="1:2" x14ac:dyDescent="0.2">
      <c r="A6544" s="1" t="s">
        <v>1191</v>
      </c>
      <c r="B6544" s="1" t="str">
        <f ca="1">IFERROR(__xludf.DUMFUNCTION("GOOGLETRANSLATE(A6722,""id"",""en"")")," THROUGH  RESULTS BRAND STRENGTH INDEX BSI COOL")</f>
        <v xml:space="preserve"> THROUGH  RESULTS BRAND STRENGTH INDEX BSI COOL</v>
      </c>
    </row>
    <row r="6545" spans="1:2" x14ac:dyDescent="0.2">
      <c r="A6545" s="1" t="s">
        <v>925</v>
      </c>
      <c r="B6545" s="1" t="str">
        <f ca="1">IFERROR(__xludf.DUMFUNCTION("GOOGLETRANSLATE(A6723,""id"",""en"")"),"Pras if the data to buy fuel subsidized sasar")</f>
        <v>Pras if the data to buy fuel subsidized sasar</v>
      </c>
    </row>
    <row r="6546" spans="1:2" x14ac:dyDescent="0.2">
      <c r="A6546" s="1" t="s">
        <v>315</v>
      </c>
      <c r="B6546" s="1" t="str">
        <f ca="1">IFERROR(__xludf.DUMFUNCTION("GOOGLETRANSLATE(A6724,""id"",""en"")"),"yup good info, thank you min")</f>
        <v>yup good info, thank you min</v>
      </c>
    </row>
    <row r="6547" spans="1:2" x14ac:dyDescent="0.2">
      <c r="A6547" s="1" t="s">
        <v>2339</v>
      </c>
      <c r="B6547" s="1" t="str">
        <f ca="1">IFERROR(__xludf.DUMFUNCTION("GOOGLETRANSLATE(A6725,""id"",""en"")"),"This great  has been ranked by the ranking of the Brand Finance Top Stongest Oil Gas Brand ranking")</f>
        <v>This great  has been ranked by the ranking of the Brand Finance Top Stongest Oil Gas Brand ranking</v>
      </c>
    </row>
    <row r="6548" spans="1:2" x14ac:dyDescent="0.2">
      <c r="A6548" s="1" t="s">
        <v>2340</v>
      </c>
      <c r="B6548" s="1" t="str">
        <f ca="1">IFERROR(__xludf.DUMFUNCTION("GOOGLETRANSLATE(A6726,""id"",""en"")"),"Intention to Set Salur Bbm Subsidized Not  Makes a Bus System")</f>
        <v>Intention to Set Salur Bbm Subsidized Not  Makes a Bus System</v>
      </c>
    </row>
    <row r="6549" spans="1:2" x14ac:dyDescent="0.2">
      <c r="A6549" s="1" t="s">
        <v>1194</v>
      </c>
      <c r="B6549" s="1" t="str">
        <f ca="1">IFERROR(__xludf.DUMFUNCTION("GOOGLETRANSLATE(A6727,""id"",""en"")"),"'s friend, the witness joined the Kebumen Internate competition")</f>
        <v>'s friend, the witness joined the Kebumen Internate competition</v>
      </c>
    </row>
    <row r="6550" spans="1:2" x14ac:dyDescent="0.2">
      <c r="A6550" s="1" t="s">
        <v>316</v>
      </c>
      <c r="B6550" s="1" t="str">
        <f ca="1">IFERROR(__xludf.DUMFUNCTION("GOOGLETRANSLATE(A6728,""id"",""en"")"),"Come on a vehicle list on July, service, buy solar subsidies")</f>
        <v>Come on a vehicle list on July, service, buy solar subsidies</v>
      </c>
    </row>
    <row r="6551" spans="1:2" x14ac:dyDescent="0.2">
      <c r="A6551" s="1" t="s">
        <v>2341</v>
      </c>
      <c r="B6551" s="1" t="str">
        <f ca="1">IFERROR(__xludf.DUMFUNCTION("GOOGLETRANSLATE(A6729,""id"",""en"")")," Results of Top Strongest Oil Amp Gas Brand Place Brand Finan Brand Ranking")</f>
        <v xml:space="preserve"> Results of Top Strongest Oil Amp Gas Brand Place Brand Finan Brand Ranking</v>
      </c>
    </row>
    <row r="6552" spans="1:2" x14ac:dyDescent="0.2">
      <c r="A6552" s="1" t="s">
        <v>5778</v>
      </c>
      <c r="B6552" s="1" t="str">
        <f ca="1">IFERROR(__xludf.DUMFUNCTION("GOOGLETRANSLATE(A6730,""id"",""en"")"),"  Pertamax Bright Gas Nyuk joined")</f>
        <v xml:space="preserve">  Pertamax Bright Gas Nyuk joined</v>
      </c>
    </row>
    <row r="6553" spans="1:2" x14ac:dyDescent="0.2">
      <c r="A6553" s="1" t="s">
        <v>5081</v>
      </c>
      <c r="B6553" s="1" t="str">
        <f ca="1">IFERROR(__xludf.DUMFUNCTION("GOOGLETRANSLATE(A6731,""id"",""en"")")," 's voice")</f>
        <v xml:space="preserve"> 's voice</v>
      </c>
    </row>
    <row r="6554" spans="1:2" x14ac:dyDescent="0.2">
      <c r="A6554" s="1" t="s">
        <v>1196</v>
      </c>
      <c r="B6554" s="1" t="str">
        <f ca="1">IFERROR(__xludf.DUMFUNCTION("GOOGLETRANSLATE(A6732,""id"",""en"")"),"PLTGU Surveyor  Acade KP Sooonnnn participated in getting a client Baiq, wait FRENS")</f>
        <v>PLTGU Surveyor  Acade KP Sooonnnn participated in getting a client Baiq, wait FRENS</v>
      </c>
    </row>
    <row r="6555" spans="1:2" x14ac:dyDescent="0.2">
      <c r="A6555" s="1" t="s">
        <v>5082</v>
      </c>
      <c r="B6555" s="1" t="str">
        <f ca="1">IFERROR(__xludf.DUMFUNCTION("GOOGLETRANSLATE(A6733,""id"",""en"")"),"serious if the contents of gasoline using  ")</f>
        <v xml:space="preserve">serious if the contents of gasoline using  </v>
      </c>
    </row>
    <row r="6556" spans="1:2" x14ac:dyDescent="0.2">
      <c r="A6556" s="1" t="s">
        <v>317</v>
      </c>
      <c r="B6556" s="1" t="str">
        <f ca="1">IFERROR(__xludf.DUMFUNCTION("GOOGLETRANSLATE(A6734,""id"",""en"")"),"Forward Indonesian people to buy items need the main using cooking oil application using PE")</f>
        <v>Forward Indonesian people to buy items need the main using cooking oil application using PE</v>
      </c>
    </row>
    <row r="6557" spans="1:2" x14ac:dyDescent="0.2">
      <c r="A6557" s="1" t="s">
        <v>1197</v>
      </c>
      <c r="B6557" s="1" t="str">
        <f ca="1">IFERROR(__xludf.DUMFUNCTION("GOOGLETRANSLATE(A6735,""id"",""en"")")," is proud of work performance")</f>
        <v xml:space="preserve"> is proud of work performance</v>
      </c>
    </row>
    <row r="6558" spans="1:2" x14ac:dyDescent="0.2">
      <c r="A6558" s="1" t="s">
        <v>5794</v>
      </c>
      <c r="B6558" s="1" t="str">
        <f ca="1">IFERROR(__xludf.DUMFUNCTION("GOOGLETRANSLATE(A6736,""id"",""en"")"),"Asyiiik fortunately but fortunately  if for  nunggagu")</f>
        <v>Asyiiik fortunately but fortunately  if for  nunggagu</v>
      </c>
    </row>
    <row r="6559" spans="1:2" x14ac:dyDescent="0.2">
      <c r="A6559" s="1" t="s">
        <v>926</v>
      </c>
      <c r="B6559" s="1" t="str">
        <f ca="1">IFERROR(__xludf.DUMFUNCTION("GOOGLETRANSLATE(A6737,""id"",""en"")"),"Buy cooking oil using the hedge care for KTP using a KTP, buy it, buy it, it's complicated")</f>
        <v>Buy cooking oil using the hedge care for KTP using a KTP, buy it, buy it, it's complicated</v>
      </c>
    </row>
    <row r="6560" spans="1:2" x14ac:dyDescent="0.2">
      <c r="A6560" s="1" t="s">
        <v>1199</v>
      </c>
      <c r="B6560" s="1" t="str">
        <f ca="1">IFERROR(__xludf.DUMFUNCTION("GOOGLETRANSLATE(A6738,""id"",""en"")")," brand Strong view of Emotional Functional Benefits")</f>
        <v xml:space="preserve"> brand Strong view of Emotional Functional Benefits</v>
      </c>
    </row>
    <row r="6561" spans="1:2" x14ac:dyDescent="0.2">
      <c r="A6561" s="1" t="s">
        <v>1200</v>
      </c>
      <c r="B6561" s="1" t="str">
        <f ca="1">IFERROR(__xludf.DUMFUNCTION("GOOGLETRANSLATE(A6739,""id"",""en"")"),"July  Patra Niaga Paksi Trial")</f>
        <v>July  Patra Niaga Paksi Trial</v>
      </c>
    </row>
    <row r="6562" spans="1:2" x14ac:dyDescent="0.2">
      <c r="A6562" s="1" t="s">
        <v>5084</v>
      </c>
      <c r="B6562" s="1" t="str">
        <f ca="1">IFERROR(__xludf.DUMFUNCTION("GOOGLETRANSLATE(A6740,""id"",""en"")"),"Boro Boro   Sometimes Pom can not pay for the cashless card now, making the ckckck application")</f>
        <v>Boro Boro   Sometimes Pom can not pay for the cashless card now, making the ckckck application</v>
      </c>
    </row>
    <row r="6563" spans="1:2" x14ac:dyDescent="0.2">
      <c r="A6563" s="1" t="s">
        <v>1201</v>
      </c>
      <c r="B6563" s="1" t="str">
        <f ca="1">IFERROR(__xludf.DUMFUNCTION("GOOGLETRANSLATE(A6741,""id"",""en"")"),"Indonesian people are proud of  to sell well")</f>
        <v>Indonesian people are proud of  to sell well</v>
      </c>
    </row>
    <row r="6564" spans="1:2" x14ac:dyDescent="0.2">
      <c r="A6564" s="1" t="s">
        <v>318</v>
      </c>
      <c r="B6564" s="1" t="str">
        <f ca="1">IFERROR(__xludf.DUMFUNCTION("GOOGLETRANSLATE(A6742,""id"",""en"")"),"Oi")</f>
        <v>Oi</v>
      </c>
    </row>
    <row r="6565" spans="1:2" x14ac:dyDescent="0.2">
      <c r="A6565" s="1" t="s">
        <v>2342</v>
      </c>
      <c r="B6565" s="1" t="str">
        <f ca="1">IFERROR(__xludf.DUMFUNCTION("GOOGLETRANSLATE(A6743,""id"",""en"")"),"Cool  The results of the entrance to the top strongest oil amp gas brand rank")</f>
        <v>Cool  The results of the entrance to the top strongest oil amp gas brand rank</v>
      </c>
    </row>
    <row r="6566" spans="1:2" x14ac:dyDescent="0.2">
      <c r="A6566" s="1" t="s">
        <v>1050</v>
      </c>
      <c r="B6566" s="1" t="str">
        <f ca="1">IFERROR(__xludf.DUMFUNCTION("GOOGLETRANSLATE(A6744,""id"",""en"")"),"PRANK  LOOK HP SPBU WKWKWK")</f>
        <v>PRANK  LOOK HP SPBU WKWKWK</v>
      </c>
    </row>
    <row r="6567" spans="1:2" x14ac:dyDescent="0.2">
      <c r="A6567" s="1" t="s">
        <v>319</v>
      </c>
      <c r="B6567" s="1" t="str">
        <f ca="1">IFERROR(__xludf.DUMFUNCTION("GOOGLETRANSLATE(A6745,""id"",""en"")"),"complicated easy list of vehicles")</f>
        <v>complicated easy list of vehicles</v>
      </c>
    </row>
    <row r="6568" spans="1:2" x14ac:dyDescent="0.2">
      <c r="A6568" s="1" t="s">
        <v>320</v>
      </c>
      <c r="B6568" s="1" t="str">
        <f ca="1">IFERROR(__xludf.DUMFUNCTION("GOOGLETRANSLATE(A6746,""id"",""en"")"),"Otimatic Filter Let's Succeed")</f>
        <v>Otimatic Filter Let's Succeed</v>
      </c>
    </row>
    <row r="6569" spans="1:2" x14ac:dyDescent="0.2">
      <c r="A6569" s="1" t="s">
        <v>1203</v>
      </c>
      <c r="B6569" s="1" t="str">
        <f ca="1">IFERROR(__xludf.DUMFUNCTION("GOOGLETRANSLATE(A6747,""id"",""en"")"),"ahead of the contents of the gasoline using  apps")</f>
        <v>ahead of the contents of the gasoline using  apps</v>
      </c>
    </row>
    <row r="6570" spans="1:2" x14ac:dyDescent="0.2">
      <c r="A6570" s="1" t="s">
        <v>1204</v>
      </c>
      <c r="B6570" s="1" t="str">
        <f ca="1">IFERROR(__xludf.DUMFUNCTION("GOOGLETRANSLATE(A6748,""id"",""en"")"),"achieve the results of  wishing front")</f>
        <v>achieve the results of  wishing front</v>
      </c>
    </row>
    <row r="6571" spans="1:2" x14ac:dyDescent="0.2">
      <c r="A6571" s="1" t="s">
        <v>5085</v>
      </c>
      <c r="B6571" s="1" t="str">
        <f ca="1">IFERROR(__xludf.DUMFUNCTION("GOOGLETRANSLATE(A6749,""id"",""en"")"),"  is not friendly old")</f>
        <v xml:space="preserve">  is not friendly old</v>
      </c>
    </row>
    <row r="6572" spans="1:2" x14ac:dyDescent="0.2">
      <c r="A6572" s="1" t="s">
        <v>2343</v>
      </c>
      <c r="B6572" s="1" t="str">
        <f ca="1">IFERROR(__xludf.DUMFUNCTION("GOOGLETRANSLATE(A6750,""id"",""en"")"),"sad state to manage amateur an any of  IT")</f>
        <v>sad state to manage amateur an any of  IT</v>
      </c>
    </row>
    <row r="6573" spans="1:2" x14ac:dyDescent="0.2">
      <c r="A6573" s="1" t="s">
        <v>2344</v>
      </c>
      <c r="B6573" s="1" t="str">
        <f ca="1">IFERROR(__xludf.DUMFUNCTION("GOOGLETRANSLATE(A6751,""id"",""en"")"),"N Noverty Strategy to Prevent Leaks of Subsidized BBM")</f>
        <v>N Noverty Strategy to Prevent Leaks of Subsidized BBM</v>
      </c>
    </row>
    <row r="6574" spans="1:2" x14ac:dyDescent="0.2">
      <c r="A6574" s="1" t="s">
        <v>1207</v>
      </c>
      <c r="B6574" s="1" t="str">
        <f ca="1">IFERROR(__xludf.DUMFUNCTION("GOOGLETRANSLATE(A6752,""id"",""en"")"),"Damn ")</f>
        <v xml:space="preserve">Damn </v>
      </c>
    </row>
    <row r="6575" spans="1:2" x14ac:dyDescent="0.2">
      <c r="A6575" s="1" t="s">
        <v>2344</v>
      </c>
      <c r="B6575" s="1" t="str">
        <f ca="1">IFERROR(__xludf.DUMFUNCTION("GOOGLETRANSLATE(A6753,""id"",""en"")"),"N Noverty Strategy to Prevent Leaks of Subsidized BBM")</f>
        <v>N Noverty Strategy to Prevent Leaks of Subsidized BBM</v>
      </c>
    </row>
    <row r="6576" spans="1:2" x14ac:dyDescent="0.2">
      <c r="A6576" s="1" t="s">
        <v>321</v>
      </c>
      <c r="B6576" s="1" t="str">
        <f ca="1">IFERROR(__xludf.DUMFUNCTION("GOOGLETRANSLATE(A6754,""id"",""en"")"),"Bring Sndiined Tower Bang")</f>
        <v>Bring Sndiined Tower Bang</v>
      </c>
    </row>
    <row r="6577" spans="1:2" x14ac:dyDescent="0.2">
      <c r="A6577" s="1" t="s">
        <v>322</v>
      </c>
      <c r="B6577" s="1" t="str">
        <f ca="1">IFERROR(__xludf.DUMFUNCTION("GOOGLETRANSLATE(A6755,""id"",""en"")"),"Yes, the BBM Society of Subsidies that are Solid Rights")</f>
        <v>Yes, the BBM Society of Subsidies that are Solid Rights</v>
      </c>
    </row>
    <row r="6578" spans="1:2" x14ac:dyDescent="0.2">
      <c r="A6578" s="1" t="s">
        <v>323</v>
      </c>
      <c r="B6578" s="1" t="str">
        <f ca="1">IFERROR(__xludf.DUMFUNCTION("GOOGLETRANSLATE(A6756,""id"",""en"")"),"tiati later hit by the gas gas station, you know")</f>
        <v>tiati later hit by the gas gas station, you know</v>
      </c>
    </row>
    <row r="6579" spans="1:2" x14ac:dyDescent="0.2">
      <c r="A6579" s="1" t="s">
        <v>5795</v>
      </c>
      <c r="B6579" s="1" t="str">
        <f ca="1">IFERROR(__xludf.DUMFUNCTION("GOOGLETRANSLATE(A6757,""id"",""en"")"),"after uninstalling ndoro because the bar gas stations do not have to be  perta")</f>
        <v>after uninstalling ndoro because the bar gas stations do not have to be  perta</v>
      </c>
    </row>
    <row r="6580" spans="1:2" x14ac:dyDescent="0.2">
      <c r="A6580" s="1" t="s">
        <v>2345</v>
      </c>
      <c r="B6580" s="1" t="str">
        <f ca="1">IFERROR(__xludf.DUMFUNCTION("GOOGLETRANSLATE(A6758,""id"",""en"")")," class helps subordinates")</f>
        <v xml:space="preserve"> class helps subordinates</v>
      </c>
    </row>
    <row r="6581" spans="1:2" x14ac:dyDescent="0.2">
      <c r="A6581" s="1" t="s">
        <v>2346</v>
      </c>
      <c r="B6581" s="1" t="str">
        <f ca="1">IFERROR(__xludf.DUMFUNCTION("GOOGLETRANSLATE(A6759,""id"",""en"")"),"mba, don't be as if the bank is  org says it's complicated, one of the drivers is not efficient")</f>
        <v>mba, don't be as if the bank is  org says it's complicated, one of the drivers is not efficient</v>
      </c>
    </row>
    <row r="6582" spans="1:2" x14ac:dyDescent="0.2">
      <c r="A6582" s="1" t="s">
        <v>1210</v>
      </c>
      <c r="B6582" s="1" t="str">
        <f ca="1">IFERROR(__xludf.DUMFUNCTION("GOOGLETRANSLATE(A6760,""id"",""en"")"),"PT  Patra Niaga Opens the process of buying a fuel list of Pertalite Solar July")</f>
        <v>PT  Patra Niaga Opens the process of buying a fuel list of Pertalite Solar July</v>
      </c>
    </row>
    <row r="6583" spans="1:2" x14ac:dyDescent="0.2">
      <c r="A6583" s="1" t="s">
        <v>927</v>
      </c>
      <c r="B6583" s="1" t="str">
        <f ca="1">IFERROR(__xludf.DUMFUNCTION("GOOGLETRANSLATE(A6761,""id"",""en"")"),"the country here is difficult for citizens to adjust ga")</f>
        <v>the country here is difficult for citizens to adjust ga</v>
      </c>
    </row>
    <row r="6584" spans="1:2" x14ac:dyDescent="0.2">
      <c r="A6584" s="1" t="s">
        <v>5087</v>
      </c>
      <c r="B6584" s="1" t="str">
        <f ca="1">IFERROR(__xludf.DUMFUNCTION("GOOGLETRANSLATE(A6762,""id"",""en"")"),"I just used   the promo requirements are pretty much cut")</f>
        <v>I just used   the promo requirements are pretty much cut</v>
      </c>
    </row>
    <row r="6585" spans="1:2" x14ac:dyDescent="0.2">
      <c r="A6585" s="1" t="s">
        <v>324</v>
      </c>
      <c r="B6585" s="1" t="str">
        <f ca="1">IFERROR(__xludf.DUMFUNCTION("GOOGLETRANSLATE(A6763,""id"",""en"")"),"July Test Guest")</f>
        <v>July Test Guest</v>
      </c>
    </row>
    <row r="6586" spans="1:2" x14ac:dyDescent="0.2">
      <c r="A6586" s="1" t="s">
        <v>928</v>
      </c>
      <c r="B6586" s="1" t="str">
        <f ca="1">IFERROR(__xludf.DUMFUNCTION("GOOGLETRANSLATE(A6764,""id"",""en"")"),"wooooii juancoookkkk ntr the motorbike is gaud the responsibility")</f>
        <v>wooooii juancoookkkk ntr the motorbike is gaud the responsibility</v>
      </c>
    </row>
    <row r="6587" spans="1:2" x14ac:dyDescent="0.2">
      <c r="A6587" s="1" t="s">
        <v>5088</v>
      </c>
      <c r="B6587" s="1" t="str">
        <f ca="1">IFERROR(__xludf.DUMFUNCTION("GOOGLETRANSLATE(A6765,""id"",""en"")"),"use    price is just if it's not to be better")</f>
        <v>use    price is just if it's not to be better</v>
      </c>
    </row>
    <row r="6588" spans="1:2" x14ac:dyDescent="0.2">
      <c r="A6588" s="1" t="s">
        <v>326</v>
      </c>
      <c r="B6588" s="1" t="str">
        <f ca="1">IFERROR(__xludf.DUMFUNCTION("GOOGLETRANSLATE(A6766,""id"",""en"")"),"if the people's representatives are silent, I swear infertile")</f>
        <v>if the people's representatives are silent, I swear infertile</v>
      </c>
    </row>
    <row r="6589" spans="1:2" x14ac:dyDescent="0.2">
      <c r="A6589" s="1" t="s">
        <v>327</v>
      </c>
      <c r="B6589" s="1" t="str">
        <f ca="1">IFERROR(__xludf.DUMFUNCTION("GOOGLETRANSLATE(A6767,""id"",""en"")"),"Gas List of Kendara")</f>
        <v>Gas List of Kendara</v>
      </c>
    </row>
    <row r="6590" spans="1:2" x14ac:dyDescent="0.2">
      <c r="A6590" s="1" t="s">
        <v>1212</v>
      </c>
      <c r="B6590" s="1" t="str">
        <f ca="1">IFERROR(__xludf.DUMFUNCTION("GOOGLETRANSLATE(A6768,""id"",""en"")")," Efforts to Saying both Langgan Community")</f>
        <v xml:space="preserve"> Efforts to Saying both Langgan Community</v>
      </c>
    </row>
    <row r="6591" spans="1:2" x14ac:dyDescent="0.2">
      <c r="A6591" s="1" t="s">
        <v>329</v>
      </c>
      <c r="B6591" s="1" t="str">
        <f ca="1">IFERROR(__xludf.DUMFUNCTION("GOOGLETRANSLATE(A6769,""id"",""en"")"),"Come on, friends who from the province are successful")</f>
        <v>Come on, friends who from the province are successful</v>
      </c>
    </row>
    <row r="6592" spans="1:2" x14ac:dyDescent="0.2">
      <c r="A6592" s="1" t="s">
        <v>4919</v>
      </c>
      <c r="B6592" s="1" t="str">
        <f ca="1">IFERROR(__xludf.DUMFUNCTION("GOOGLETRANSLATE(A6770,""id"",""en"")"),"Come download ")</f>
        <v xml:space="preserve">Come download </v>
      </c>
    </row>
    <row r="6593" spans="1:2" x14ac:dyDescent="0.2">
      <c r="A6593" s="1" t="s">
        <v>5090</v>
      </c>
      <c r="B6593" s="1" t="str">
        <f ca="1">IFERROR(__xludf.DUMFUNCTION("GOOGLETRANSLATE(A6771,""id"",""en"")")," trialing the   July application to build it")</f>
        <v xml:space="preserve"> trialing the   July application to build it</v>
      </c>
    </row>
    <row r="6594" spans="1:2" x14ac:dyDescent="0.2">
      <c r="A6594" s="1" t="s">
        <v>1213</v>
      </c>
      <c r="B6594" s="1" t="str">
        <f ca="1">IFERROR(__xludf.DUMFUNCTION("GOOGLETRANSLATE(A6772,""id"",""en"")"),"'s good consistency commitment salute")</f>
        <v>'s good consistency commitment salute</v>
      </c>
    </row>
    <row r="6595" spans="1:2" x14ac:dyDescent="0.2">
      <c r="A6595" s="1" t="s">
        <v>1214</v>
      </c>
      <c r="B6595" s="1" t="str">
        <f ca="1">IFERROR(__xludf.DUMFUNCTION("GOOGLETRANSLATE(A6773,""id"",""en"")"),"BBM Subsidies Salang  Spirit")</f>
        <v>BBM Subsidies Salang  Spirit</v>
      </c>
    </row>
    <row r="6596" spans="1:2" x14ac:dyDescent="0.2">
      <c r="A6596" s="1" t="s">
        <v>1215</v>
      </c>
      <c r="B6596" s="1" t="str">
        <f ca="1">IFERROR(__xludf.DUMFUNCTION("GOOGLETRANSLATE(A6774,""id"",""en"")"),"PT  Adjust to Buy Pertalite Solar Public Buy Subsidized Fuel WA")</f>
        <v>PT  Adjust to Buy Pertalite Solar Public Buy Subsidized Fuel WA</v>
      </c>
    </row>
    <row r="6597" spans="1:2" x14ac:dyDescent="0.2">
      <c r="A6597" s="1" t="s">
        <v>331</v>
      </c>
      <c r="B6597" s="1" t="str">
        <f ca="1">IFERROR(__xludf.DUMFUNCTION("GOOGLETRANSLATE(A6775,""id"",""en"")"),"TATE LIST JULY YES")</f>
        <v>TATE LIST JULY YES</v>
      </c>
    </row>
    <row r="6598" spans="1:2" x14ac:dyDescent="0.2">
      <c r="A6598" s="1" t="s">
        <v>2347</v>
      </c>
      <c r="B6598" s="1" t="str">
        <f ca="1">IFERROR(__xludf.DUMFUNCTION("GOOGLETRANSLATE(A6776,""id"",""en"")"),"Lipi told me to face Ms. Dian Hapsari Unit Manager Comunication AMP CSR  so that the debate")</f>
        <v>Lipi told me to face Ms. Dian Hapsari Unit Manager Comunication AMP CSR  so that the debate</v>
      </c>
    </row>
    <row r="6599" spans="1:2" x14ac:dyDescent="0.2">
      <c r="A6599" s="1" t="s">
        <v>2348</v>
      </c>
      <c r="B6599" s="1" t="str">
        <f ca="1">IFERROR(__xludf.DUMFUNCTION("GOOGLETRANSLATE(A6777,""id"",""en"")"),"only OOT N OBTAINED MAHZAB COMMITTEE DIFFICULT")</f>
        <v>only OOT N OBTAINED MAHZAB COMMITTEE DIFFICULT</v>
      </c>
    </row>
    <row r="6600" spans="1:2" x14ac:dyDescent="0.2">
      <c r="A6600" s="1" t="s">
        <v>5092</v>
      </c>
      <c r="B6600" s="1" t="str">
        <f ca="1">IFERROR(__xludf.DUMFUNCTION("GOOGLETRANSLATE(A6778,""id"",""en"")"),"it is true that the rich rich are the poor who are difficult to use   high school")</f>
        <v>it is true that the rich rich are the poor who are difficult to use   high school</v>
      </c>
    </row>
    <row r="6601" spans="1:2" x14ac:dyDescent="0.2">
      <c r="A6601" s="1" t="s">
        <v>1217</v>
      </c>
      <c r="B6601" s="1" t="str">
        <f ca="1">IFERROR(__xludf.DUMFUNCTION("GOOGLETRANSLATE(A6779,""id"",""en"")")," Komut Taik Luh")</f>
        <v xml:space="preserve"> Komut Taik Luh</v>
      </c>
    </row>
    <row r="6602" spans="1:2" x14ac:dyDescent="0.2">
      <c r="A6602" s="1" t="s">
        <v>5093</v>
      </c>
      <c r="B6602" s="1" t="str">
        <f ca="1">IFERROR(__xludf.DUMFUNCTION("GOOGLETRANSLATE(A6780,""id"",""en"")"),"prohibit active cellphones from open  app.")</f>
        <v>prohibit active cellphones from open  app.</v>
      </c>
    </row>
    <row r="6603" spans="1:2" x14ac:dyDescent="0.2">
      <c r="A6603" s="1" t="s">
        <v>332</v>
      </c>
      <c r="B6603" s="1" t="str">
        <f ca="1">IFERROR(__xludf.DUMFUNCTION("GOOGLETRANSLATE(A6781,""id"",""en"")"),"July guest")</f>
        <v>July guest</v>
      </c>
    </row>
    <row r="6604" spans="1:2" x14ac:dyDescent="0.2">
      <c r="A6604" s="1" t="s">
        <v>333</v>
      </c>
      <c r="B6604" s="1" t="str">
        <f ca="1">IFERROR(__xludf.DUMFUNCTION("GOOGLETRANSLATE(A6782,""id"",""en"")"),"if the gas station is mleduk pretending to be stupid")</f>
        <v>if the gas station is mleduk pretending to be stupid</v>
      </c>
    </row>
    <row r="6605" spans="1:2" x14ac:dyDescent="0.2">
      <c r="A6605" s="1" t="s">
        <v>1218</v>
      </c>
      <c r="B6605" s="1" t="str">
        <f ca="1">IFERROR(__xludf.DUMFUNCTION("GOOGLETRANSLATE(A6783,""id"",""en"")"),"'s hard work gets prices")</f>
        <v>'s hard work gets prices</v>
      </c>
    </row>
    <row r="6606" spans="1:2" x14ac:dyDescent="0.2">
      <c r="A6606" s="1" t="s">
        <v>929</v>
      </c>
      <c r="B6606" s="1" t="str">
        <f ca="1">IFERROR(__xludf.DUMFUNCTION("GOOGLETRANSLATE(A6784,""id"",""en"")"),"The incident that is the one who is wrong, uncle, will be forced here")</f>
        <v>The incident that is the one who is wrong, uncle, will be forced here</v>
      </c>
    </row>
    <row r="6607" spans="1:2" x14ac:dyDescent="0.2">
      <c r="A6607" s="1" t="s">
        <v>334</v>
      </c>
      <c r="B6607" s="1" t="str">
        <f ca="1">IFERROR(__xludf.DUMFUNCTION("GOOGLETRANSLATE(A6785,""id"",""en"")"),"Read Read Read")</f>
        <v>Read Read Read</v>
      </c>
    </row>
    <row r="6608" spans="1:2" x14ac:dyDescent="0.2">
      <c r="A6608" s="1" t="s">
        <v>335</v>
      </c>
      <c r="B6608" s="1" t="str">
        <f ca="1">IFERROR(__xludf.DUMFUNCTION("GOOGLETRANSLATE(A6786,""id"",""en"")"),"no")</f>
        <v>no</v>
      </c>
    </row>
    <row r="6609" spans="1:2" x14ac:dyDescent="0.2">
      <c r="A6609" s="1" t="s">
        <v>336</v>
      </c>
      <c r="B6609" s="1" t="str">
        <f ca="1">IFERROR(__xludf.DUMFUNCTION("GOOGLETRANSLATE(A6787,""id"",""en"")"),"let's list of favorable subsidies")</f>
        <v>let's list of favorable subsidies</v>
      </c>
    </row>
    <row r="6610" spans="1:2" x14ac:dyDescent="0.2">
      <c r="A6610" s="1" t="s">
        <v>5095</v>
      </c>
      <c r="B6610" s="1" t="str">
        <f ca="1">IFERROR(__xludf.DUMFUNCTION("GOOGLETRANSLATE(A6788,""id"",""en"")"),"must be ready for the list of ")</f>
        <v xml:space="preserve">must be ready for the list of </v>
      </c>
    </row>
    <row r="6611" spans="1:2" x14ac:dyDescent="0.2">
      <c r="A6611" s="1" t="s">
        <v>5796</v>
      </c>
      <c r="B6611" s="1" t="str">
        <f ca="1">IFERROR(__xludf.DUMFUNCTION("GOOGLETRANSLATE(A6789,""id"",""en"")"),"'s plan for the limit of buying fuel subsidies for the type of solar pertalite with the  application")</f>
        <v>'s plan for the limit of buying fuel subsidies for the type of solar pertalite with the  application</v>
      </c>
    </row>
    <row r="6612" spans="1:2" x14ac:dyDescent="0.2">
      <c r="A6612" s="1" t="s">
        <v>337</v>
      </c>
      <c r="B6612" s="1" t="str">
        <f ca="1">IFERROR(__xludf.DUMFUNCTION("GOOGLETRANSLATE(A6790,""id"",""en"")"),"Custumer Pertalite People's Representatives Finding the Acute Hearing Stage")</f>
        <v>Custumer Pertalite People's Representatives Finding the Acute Hearing Stage</v>
      </c>
    </row>
    <row r="6613" spans="1:2" x14ac:dyDescent="0.2">
      <c r="A6613" s="1" t="s">
        <v>5097</v>
      </c>
      <c r="B6613" s="1" t="str">
        <f ca="1">IFERROR(__xludf.DUMFUNCTION("GOOGLETRANSLATE(A6791,""id"",""en"")"),"here quickly download the  application")</f>
        <v>here quickly download the  application</v>
      </c>
    </row>
    <row r="6614" spans="1:2" x14ac:dyDescent="0.2">
      <c r="A6614" s="1" t="s">
        <v>338</v>
      </c>
      <c r="B6614" s="1" t="str">
        <f ca="1">IFERROR(__xludf.DUMFUNCTION("GOOGLETRANSLATE(A6792,""id"",""en"")"),"The one who is BUMN for green energy with the cooperation of the Persero Energy Saver Li")</f>
        <v>The one who is BUMN for green energy with the cooperation of the Persero Energy Saver Li</v>
      </c>
    </row>
    <row r="6615" spans="1:2" x14ac:dyDescent="0.2">
      <c r="A6615" s="1" t="s">
        <v>1219</v>
      </c>
      <c r="B6615" s="1" t="str">
        <f ca="1">IFERROR(__xludf.DUMFUNCTION("GOOGLETRANSLATE(A6793,""id"",""en"")"),"see this clear ")</f>
        <v xml:space="preserve">see this clear </v>
      </c>
    </row>
    <row r="6616" spans="1:2" x14ac:dyDescent="0.2">
      <c r="A6616" s="1" t="s">
        <v>930</v>
      </c>
      <c r="B6616" s="1" t="str">
        <f ca="1">IFERROR(__xludf.DUMFUNCTION("GOOGLETRANSLATE(A6794,""id"",""en"")"),"to prohibit now, just fill in the BBM application, open the cellphone application")</f>
        <v>to prohibit now, just fill in the BBM application, open the cellphone application</v>
      </c>
    </row>
    <row r="6617" spans="1:2" x14ac:dyDescent="0.2">
      <c r="A6617" s="1" t="s">
        <v>1220</v>
      </c>
      <c r="B6617" s="1" t="str">
        <f ca="1">IFERROR(__xludf.DUMFUNCTION("GOOGLETRANSLATE(A6795,""id"",""en"")")," Seriously Salur BBM Subsidized Sasar")</f>
        <v xml:space="preserve"> Seriously Salur BBM Subsidized Sasar</v>
      </c>
    </row>
    <row r="6618" spans="1:2" x14ac:dyDescent="0.2">
      <c r="A6618" s="1" t="s">
        <v>5797</v>
      </c>
      <c r="B6618" s="1" t="str">
        <f ca="1">IFERROR(__xludf.DUMFUNCTION("GOOGLETRANSLATE(A6796,""id"",""en"")"),"Alas  The  Application Buy Bbm Salur Bbm Subsidy")</f>
        <v>Alas  The  Application Buy Bbm Salur Bbm Subsidy</v>
      </c>
    </row>
    <row r="6619" spans="1:2" x14ac:dyDescent="0.2">
      <c r="A6619" s="1" t="s">
        <v>931</v>
      </c>
      <c r="B6619" s="1" t="str">
        <f ca="1">IFERROR(__xludf.DUMFUNCTION("GOOGLETRANSLATE(A6797,""id"",""en"")"),"Drinking BBM subsidies must use the application of nwajarlah Sasar which subsidized Golong Sultan Ntap")</f>
        <v>Drinking BBM subsidies must use the application of nwajarlah Sasar which subsidized Golong Sultan Ntap</v>
      </c>
    </row>
    <row r="6620" spans="1:2" x14ac:dyDescent="0.2">
      <c r="A6620" s="1" t="s">
        <v>5099</v>
      </c>
      <c r="B6620" s="1" t="str">
        <f ca="1">IFERROR(__xludf.DUMFUNCTION("GOOGLETRANSLATE(A6798,""id"",""en"")"),"use   if you buy gasoline using jirigen")</f>
        <v>use   if you buy gasoline using jirigen</v>
      </c>
    </row>
    <row r="6621" spans="1:2" x14ac:dyDescent="0.2">
      <c r="A6621" s="1" t="s">
        <v>340</v>
      </c>
      <c r="B6621" s="1" t="str">
        <f ca="1">IFERROR(__xludf.DUMFUNCTION("GOOGLETRANSLATE(A6799,""id"",""en"")"),"Really complicated")</f>
        <v>Really complicated</v>
      </c>
    </row>
    <row r="6622" spans="1:2" x14ac:dyDescent="0.2">
      <c r="A6622" s="1" t="s">
        <v>932</v>
      </c>
      <c r="B6622" s="1" t="str">
        <f ca="1">IFERROR(__xludf.DUMFUNCTION("GOOGLETRANSLATE(A6800,""id"",""en"")"),"Nperusahan Green Nterus reliably ebt")</f>
        <v>Nperusahan Green Nterus reliably ebt</v>
      </c>
    </row>
    <row r="6623" spans="1:2" x14ac:dyDescent="0.2">
      <c r="A6623" s="1" t="s">
        <v>341</v>
      </c>
      <c r="B6623" s="1" t="str">
        <f ca="1">IFERROR(__xludf.DUMFUNCTION("GOOGLETRANSLATE(A6801,""id"",""en"")"),"Indonesia's proud achievement")</f>
        <v>Indonesia's proud achievement</v>
      </c>
    </row>
    <row r="6624" spans="1:2" x14ac:dyDescent="0.2">
      <c r="A6624" s="1" t="s">
        <v>932</v>
      </c>
      <c r="B6624" s="1" t="str">
        <f ca="1">IFERROR(__xludf.DUMFUNCTION("GOOGLETRANSLATE(A6802,""id"",""en"")"),"Nperusahan Green Nterus reliably ebt")</f>
        <v>Nperusahan Green Nterus reliably ebt</v>
      </c>
    </row>
    <row r="6625" spans="1:2" x14ac:dyDescent="0.2">
      <c r="A6625" s="1" t="s">
        <v>342</v>
      </c>
      <c r="B6625" s="1" t="str">
        <f ca="1">IFERROR(__xludf.DUMFUNCTION("GOOGLETRANSLATE(A6803,""id"",""en"")"),"live this")</f>
        <v>live this</v>
      </c>
    </row>
    <row r="6626" spans="1:2" x14ac:dyDescent="0.2">
      <c r="A6626" s="1" t="s">
        <v>2349</v>
      </c>
      <c r="B6626" s="1" t="str">
        <f ca="1">IFERROR(__xludf.DUMFUNCTION("GOOGLETRANSLATE(A6804,""id"",""en"")"),"In the morning the  Training AMP Consulting Speaks for Be Aware of Our")</f>
        <v>In the morning the  Training AMP Consulting Speaks for Be Aware of Our</v>
      </c>
    </row>
    <row r="6627" spans="1:2" x14ac:dyDescent="0.2">
      <c r="A6627" s="1" t="s">
        <v>343</v>
      </c>
      <c r="B6627" s="1" t="str">
        <f ca="1">IFERROR(__xludf.DUMFUNCTION("GOOGLETRANSLATE(A6805,""id"",""en"")"),"gas stations forbid playing cellphones")</f>
        <v>gas stations forbid playing cellphones</v>
      </c>
    </row>
    <row r="6628" spans="1:2" x14ac:dyDescent="0.2">
      <c r="A6628" s="1" t="s">
        <v>344</v>
      </c>
      <c r="B6628" s="1" t="str">
        <f ca="1">IFERROR(__xludf.DUMFUNCTION("GOOGLETRANSLATE(A6806,""id"",""en"")"),"Ayok Let's Success Test")</f>
        <v>Ayok Let's Success Test</v>
      </c>
    </row>
    <row r="6629" spans="1:2" x14ac:dyDescent="0.2">
      <c r="A6629" s="1" t="s">
        <v>5100</v>
      </c>
      <c r="B6629" s="1" t="str">
        <f ca="1">IFERROR(__xludf.DUMFUNCTION("GOOGLETRANSLATE(A6807,""id"",""en"")"),"Alas  Buy BBM Via  Jalan Salur BBM Subsidy Sasar")</f>
        <v>Alas  Buy BBM Via  Jalan Salur BBM Subsidy Sasar</v>
      </c>
    </row>
    <row r="6630" spans="1:2" x14ac:dyDescent="0.2">
      <c r="A6630" s="1" t="s">
        <v>1224</v>
      </c>
      <c r="B6630" s="1" t="str">
        <f ca="1">IFERROR(__xludf.DUMFUNCTION("GOOGLETRANSLATE(A6808,""id"",""en"")"),"Proud  Achievement")</f>
        <v>Proud  Achievement</v>
      </c>
    </row>
    <row r="6631" spans="1:2" x14ac:dyDescent="0.2">
      <c r="A6631" s="1" t="s">
        <v>1128</v>
      </c>
      <c r="B6631" s="1" t="str">
        <f ca="1">IFERROR(__xludf.DUMFUNCTION("GOOGLETRANSLATE(A6809,""id"",""en"")")," Terpor Esg Operation Oil Refinery Solution to Build")</f>
        <v xml:space="preserve"> Terpor Esg Operation Oil Refinery Solution to Build</v>
      </c>
    </row>
    <row r="6632" spans="1:2" x14ac:dyDescent="0.2">
      <c r="A6632" s="1" t="s">
        <v>345</v>
      </c>
      <c r="B6632" s="1" t="str">
        <f ca="1">IFERROR(__xludf.DUMFUNCTION("GOOGLETRANSLATE(A6811,""id"",""en"")"),"this must live the territory")</f>
        <v>this must live the territory</v>
      </c>
    </row>
    <row r="6633" spans="1:2" x14ac:dyDescent="0.2">
      <c r="A6633" s="1" t="s">
        <v>1225</v>
      </c>
      <c r="B6633" s="1" t="str">
        <f ca="1">IFERROR(__xludf.DUMFUNCTION("GOOGLETRANSLATE(A6812,""id"",""en"")"),"Denpasar Police Chief of PT  Branch Denpasar Denpasar Branch")</f>
        <v>Denpasar Police Chief of PT  Branch Denpasar Denpasar Branch</v>
      </c>
    </row>
    <row r="6634" spans="1:2" x14ac:dyDescent="0.2">
      <c r="A6634" s="1" t="s">
        <v>1226</v>
      </c>
      <c r="B6634" s="1" t="str">
        <f ca="1">IFERROR(__xludf.DUMFUNCTION("GOOGLETRANSLATE(A6813,""id"",""en"")")," Terpor Esg Operating Oil Refinery Solutions to Build")</f>
        <v xml:space="preserve"> Terpor Esg Operating Oil Refinery Solutions to Build</v>
      </c>
    </row>
    <row r="6635" spans="1:2" x14ac:dyDescent="0.2">
      <c r="A6635" s="1" t="s">
        <v>1227</v>
      </c>
      <c r="B6635" s="1" t="str">
        <f ca="1">IFERROR(__xludf.DUMFUNCTION("GOOGLETRANSLATE(A6814,""id"",""en"")")," Benefits of Digital Control Application Buying BBM Subsidies")</f>
        <v xml:space="preserve"> Benefits of Digital Control Application Buying BBM Subsidies</v>
      </c>
    </row>
    <row r="6636" spans="1:2" x14ac:dyDescent="0.2">
      <c r="A6636" s="1" t="s">
        <v>5101</v>
      </c>
      <c r="B6636" s="1" t="str">
        <f ca="1">IFERROR(__xludf.DUMFUNCTION("GOOGLETRANSLATE(A6815,""id"",""en"")")," trials the   July Solutions application to build")</f>
        <v xml:space="preserve"> trials the   July Solutions application to build</v>
      </c>
    </row>
    <row r="6637" spans="1:2" x14ac:dyDescent="0.2">
      <c r="A6637" s="1" t="s">
        <v>5101</v>
      </c>
      <c r="B6637" s="1" t="str">
        <f ca="1">IFERROR(__xludf.DUMFUNCTION("GOOGLETRANSLATE(A6818,""id"",""en"")")," trials the   July Solutions application to build")</f>
        <v xml:space="preserve"> trials the   July Solutions application to build</v>
      </c>
    </row>
    <row r="6638" spans="1:2" x14ac:dyDescent="0.2">
      <c r="A6638" s="1" t="s">
        <v>933</v>
      </c>
      <c r="B6638" s="1" t="str">
        <f ca="1">IFERROR(__xludf.DUMFUNCTION("GOOGLETRANSLATE(A6819,""id"",""en"")"),"realize, lae nkan already lying")</f>
        <v>realize, lae nkan already lying</v>
      </c>
    </row>
    <row r="6639" spans="1:2" x14ac:dyDescent="0.2">
      <c r="A6639" s="1" t="s">
        <v>347</v>
      </c>
      <c r="B6639" s="1" t="str">
        <f ca="1">IFERROR(__xludf.DUMFUNCTION("GOOGLETRANSLATE(A6820,""id"",""en"")"),"MOGA SYSTEM SALUR BBM SUBSIDI SUBSIDIARY")</f>
        <v>MOGA SYSTEM SALUR BBM SUBSIDI SUBSIDIARY</v>
      </c>
    </row>
    <row r="6640" spans="1:2" x14ac:dyDescent="0.2">
      <c r="A6640" s="1" t="s">
        <v>5798</v>
      </c>
      <c r="B6640" s="1" t="str">
        <f ca="1">IFERROR(__xludf.DUMFUNCTION("GOOGLETRANSLATE(A6822,""id"",""en"")"),"Yup  goes to the detailed information of the mechanism for QR perta")</f>
        <v>Yup  goes to the detailed information of the mechanism for QR perta</v>
      </c>
    </row>
    <row r="6641" spans="1:2" x14ac:dyDescent="0.2">
      <c r="A6641" s="1" t="s">
        <v>1228</v>
      </c>
      <c r="B6641" s="1" t="str">
        <f ca="1">IFERROR(__xludf.DUMFUNCTION("GOOGLETRANSLATE(A6823,""id"",""en"")")," Commitment to Both Community Services")</f>
        <v xml:space="preserve"> Commitment to Both Community Services</v>
      </c>
    </row>
    <row r="6642" spans="1:2" x14ac:dyDescent="0.2">
      <c r="A6642" s="1" t="s">
        <v>2350</v>
      </c>
      <c r="B6642" s="1" t="str">
        <f ca="1">IFERROR(__xludf.DUMFUNCTION("GOOGLETRANSLATE(A6824,""id"",""en"")")," The property rights of Nzaman community data are easy")</f>
        <v xml:space="preserve"> The property rights of Nzaman community data are easy</v>
      </c>
    </row>
    <row r="6643" spans="1:2" x14ac:dyDescent="0.2">
      <c r="A6643" s="1" t="s">
        <v>1230</v>
      </c>
      <c r="B6643" s="1" t="str">
        <f ca="1">IFERROR(__xludf.DUMFUNCTION("GOOGLETRANSLATE(A6825,""id"",""en"")"),"Lahh, former inmate of 's Commissioner, you are shut up")</f>
        <v>Lahh, former inmate of 's Commissioner, you are shut up</v>
      </c>
    </row>
    <row r="6644" spans="1:2" x14ac:dyDescent="0.2">
      <c r="A6644" s="1" t="s">
        <v>1231</v>
      </c>
      <c r="B6644" s="1" t="str">
        <f ca="1">IFERROR(__xludf.DUMFUNCTION("GOOGLETRANSLATE(A6826,""id"",""en"")"),"Sanda Indonesia Business Selling BBM Price of  gas station prices do not use complicated")</f>
        <v>Sanda Indonesia Business Selling BBM Price of  gas station prices do not use complicated</v>
      </c>
    </row>
    <row r="6645" spans="1:2" x14ac:dyDescent="0.2">
      <c r="A6645" s="1" t="s">
        <v>5799</v>
      </c>
      <c r="B6645" s="1" t="str">
        <f ca="1">IFERROR(__xludf.DUMFUNCTION("GOOGLETRANSLATE(A6827,""id"",""en"")"),"Playing HP forbids the contents of BBM Nini Discourse Buy BBM Subsidies Using   Napa Application")</f>
        <v>Playing HP forbids the contents of BBM Nini Discourse Buy BBM Subsidies Using   Napa Application</v>
      </c>
    </row>
    <row r="6646" spans="1:2" x14ac:dyDescent="0.2">
      <c r="A6646" s="1" t="s">
        <v>348</v>
      </c>
      <c r="B6646" s="1" t="str">
        <f ca="1">IFERROR(__xludf.DUMFUNCTION("GOOGLETRANSLATE(A6828,""id"",""en"")"),"understand this help info")</f>
        <v>understand this help info</v>
      </c>
    </row>
    <row r="6647" spans="1:2" x14ac:dyDescent="0.2">
      <c r="A6647" s="1" t="s">
        <v>2351</v>
      </c>
      <c r="B6647" s="1" t="str">
        <f ca="1">IFERROR(__xludf.DUMFUNCTION("GOOGLETRANSLATE(A6829,""id"",""en"")"),"Look at Instagram Twitter who protests  wisely, personal data will be")</f>
        <v>Look at Instagram Twitter who protests  wisely, personal data will be</v>
      </c>
    </row>
    <row r="6648" spans="1:2" x14ac:dyDescent="0.2">
      <c r="A6648" s="1" t="s">
        <v>349</v>
      </c>
      <c r="B6648" s="1" t="str">
        <f ca="1">IFERROR(__xludf.DUMFUNCTION("GOOGLETRANSLATE(A6830,""id"",""en"")"),"city ​​trial using applications")</f>
        <v>city ​​trial using applications</v>
      </c>
    </row>
    <row r="6649" spans="1:2" x14ac:dyDescent="0.2">
      <c r="A6649" s="1" t="s">
        <v>2352</v>
      </c>
      <c r="B6649" s="1" t="str">
        <f ca="1">IFERROR(__xludf.DUMFUNCTION("GOOGLETRANSLATE(A6831,""id"",""en"")"),"tek kim tuh jurasan looking for a lecture difficult easy to enter ")</f>
        <v xml:space="preserve">tek kim tuh jurasan looking for a lecture difficult easy to enter </v>
      </c>
    </row>
    <row r="6650" spans="1:2" x14ac:dyDescent="0.2">
      <c r="A6650" s="1" t="s">
        <v>2353</v>
      </c>
      <c r="B6650" s="1" t="str">
        <f ca="1">IFERROR(__xludf.DUMFUNCTION("GOOGLETRANSLATE(A6832,""id"",""en"")"),"n testing the July application")</f>
        <v>n testing the July application</v>
      </c>
    </row>
    <row r="6651" spans="1:2" x14ac:dyDescent="0.2">
      <c r="A6651" s="1" t="s">
        <v>2354</v>
      </c>
      <c r="B6651" s="1" t="str">
        <f ca="1">IFERROR(__xludf.DUMFUNCTION("GOOGLETRANSLATE(A6833,""id"",""en"")"),"N Applying ESG Oil Refinery Operation")</f>
        <v>N Applying ESG Oil Refinery Operation</v>
      </c>
    </row>
    <row r="6652" spans="1:2" x14ac:dyDescent="0.2">
      <c r="A6652" s="1" t="s">
        <v>350</v>
      </c>
      <c r="B6652" s="1" t="str">
        <f ca="1">IFERROR(__xludf.DUMFUNCTION("GOOGLETRANSLATE(A6834,""id"",""en"")"),"Make it difficult for the people")</f>
        <v>Make it difficult for the people</v>
      </c>
    </row>
    <row r="6653" spans="1:2" x14ac:dyDescent="0.2">
      <c r="A6653" s="1" t="s">
        <v>1235</v>
      </c>
      <c r="B6653" s="1" t="str">
        <f ca="1">IFERROR(__xludf.DUMFUNCTION("GOOGLETRANSLATE(A6835,""id"",""en"")")," Andalakan EBT Solutions To Build")</f>
        <v xml:space="preserve"> Andalakan EBT Solutions To Build</v>
      </c>
    </row>
    <row r="6654" spans="1:2" x14ac:dyDescent="0.2">
      <c r="A6654" s="1" t="s">
        <v>5800</v>
      </c>
      <c r="B6654" s="1" t="str">
        <f ca="1">IFERROR(__xludf.DUMFUNCTION("GOOGLETRANSLATE(A6836,""id"",""en"")")," Application Active Features Pay Method Connect Wallet Account")</f>
        <v xml:space="preserve"> Application Active Features Pay Method Connect Wallet Account</v>
      </c>
    </row>
    <row r="6655" spans="1:2" x14ac:dyDescent="0.2">
      <c r="A6655" s="1" t="s">
        <v>351</v>
      </c>
      <c r="B6655" s="1" t="str">
        <f ca="1">IFERROR(__xludf.DUMFUNCTION("GOOGLETRANSLATE(A6837,""id"",""en"")"),"if the spokesman is ahok or erick tohir")</f>
        <v>if the spokesman is ahok or erick tohir</v>
      </c>
    </row>
    <row r="6656" spans="1:2" x14ac:dyDescent="0.2">
      <c r="A6656" s="1" t="s">
        <v>2353</v>
      </c>
      <c r="B6656" s="1" t="str">
        <f ca="1">IFERROR(__xludf.DUMFUNCTION("GOOGLETRANSLATE(A6838,""id"",""en"")"),"n testing the July application")</f>
        <v>n testing the July application</v>
      </c>
    </row>
    <row r="6657" spans="1:2" x14ac:dyDescent="0.2">
      <c r="A6657" s="1" t="s">
        <v>352</v>
      </c>
      <c r="B6657" s="1" t="str">
        <f ca="1">IFERROR(__xludf.DUMFUNCTION("GOOGLETRANSLATE(A6839,""id"",""en"")"),"Haduh klu promotion of socialization using Indonesian wae")</f>
        <v>Haduh klu promotion of socialization using Indonesian wae</v>
      </c>
    </row>
    <row r="6658" spans="1:2" x14ac:dyDescent="0.2">
      <c r="A6658" s="1" t="s">
        <v>353</v>
      </c>
      <c r="B6658" s="1" t="str">
        <f ca="1">IFERROR(__xludf.DUMFUNCTION("GOOGLETRANSLATE(A6840,""id"",""en"")"),"blunder first up")</f>
        <v>blunder first up</v>
      </c>
    </row>
    <row r="6659" spans="1:2" x14ac:dyDescent="0.2">
      <c r="A6659" s="1" t="s">
        <v>934</v>
      </c>
      <c r="B6659" s="1" t="str">
        <f ca="1">IFERROR(__xludf.DUMFUNCTION("GOOGLETRANSLATE(A6841,""id"",""en"")"),"Happy Comedy Country I brought  motorbike to turn off the cellphone with gasoline but this is funny stupid")</f>
        <v>Happy Comedy Country I brought  motorbike to turn off the cellphone with gasoline but this is funny stupid</v>
      </c>
    </row>
    <row r="6660" spans="1:2" x14ac:dyDescent="0.2">
      <c r="A6660" s="1" t="s">
        <v>2354</v>
      </c>
      <c r="B6660" s="1" t="str">
        <f ca="1">IFERROR(__xludf.DUMFUNCTION("GOOGLETRANSLATE(A6842,""id"",""en"")"),"N Applying ESG Oil Refinery Operation")</f>
        <v>N Applying ESG Oil Refinery Operation</v>
      </c>
    </row>
    <row r="6661" spans="1:2" x14ac:dyDescent="0.2">
      <c r="A6661" s="1" t="s">
        <v>5801</v>
      </c>
      <c r="B6661" s="1" t="str">
        <f ca="1">IFERROR(__xludf.DUMFUNCTION("GOOGLETRANSLATE(A6843,""id"",""en"")")," application that is cons ad which is pro keky for your border feature")</f>
        <v xml:space="preserve"> application that is cons ad which is pro keky for your border feature</v>
      </c>
    </row>
    <row r="6662" spans="1:2" x14ac:dyDescent="0.2">
      <c r="A6662" s="1" t="s">
        <v>354</v>
      </c>
      <c r="B6662" s="1" t="str">
        <f ca="1">IFERROR(__xludf.DUMFUNCTION("GOOGLETRANSLATE(A6844,""id"",""en"")"),"Fast form of the Indonesian Electricity Kendara Ecosystem Collaboration")</f>
        <v>Fast form of the Indonesian Electricity Kendara Ecosystem Collaboration</v>
      </c>
    </row>
    <row r="6663" spans="1:2" x14ac:dyDescent="0.2">
      <c r="A6663" s="1" t="s">
        <v>5802</v>
      </c>
      <c r="B6663" s="1" t="str">
        <f ca="1">IFERROR(__xludf.DUMFUNCTION("GOOGLETRANSLATE(A6845,""id"",""en"")"),"  Application Business Link Subsidies Bio Solar Buy CPO Business Money")</f>
        <v xml:space="preserve">  Application Business Link Subsidies Bio Solar Buy CPO Business Money</v>
      </c>
    </row>
    <row r="6664" spans="1:2" x14ac:dyDescent="0.2">
      <c r="A6664" s="1" t="s">
        <v>2355</v>
      </c>
      <c r="B6664" s="1" t="str">
        <f ca="1">IFERROR(__xludf.DUMFUNCTION("GOOGLETRANSLATE(A6846,""id"",""en"")"),"Thank you, friend, spirit, let's support 's MSMEs forward")</f>
        <v>Thank you, friend, spirit, let's support 's MSMEs forward</v>
      </c>
    </row>
    <row r="6665" spans="1:2" x14ac:dyDescent="0.2">
      <c r="A6665" s="1" t="s">
        <v>935</v>
      </c>
      <c r="B6665" s="1" t="str">
        <f ca="1">IFERROR(__xludf.DUMFUNCTION("GOOGLETRANSLATE(A6847,""id"",""en"")"),"I caught all the applications can be able")</f>
        <v>I caught all the applications can be able</v>
      </c>
    </row>
    <row r="6666" spans="1:2" x14ac:dyDescent="0.2">
      <c r="A6666" s="1" t="s">
        <v>5110</v>
      </c>
      <c r="B6666" s="1" t="str">
        <f ca="1">IFERROR(__xludf.DUMFUNCTION("GOOGLETRANSLATE(A6848,""id"",""en"")"),"if you have an account  , what are you doing")</f>
        <v>if you have an account  , what are you doing</v>
      </c>
    </row>
    <row r="6667" spans="1:2" x14ac:dyDescent="0.2">
      <c r="A6667" s="1" t="s">
        <v>355</v>
      </c>
      <c r="B6667" s="1" t="str">
        <f ca="1">IFERROR(__xludf.DUMFUNCTION("GOOGLETRANSLATE(A6849,""id"",""en"")"),"hi friend, thank you, yes, support it wholeheartedly in the morning, the success")</f>
        <v>hi friend, thank you, yes, support it wholeheartedly in the morning, the success</v>
      </c>
    </row>
    <row r="6668" spans="1:2" x14ac:dyDescent="0.2">
      <c r="A6668" s="1" t="s">
        <v>5803</v>
      </c>
      <c r="B6668" s="1" t="str">
        <f ca="1">IFERROR(__xludf.DUMFUNCTION("GOOGLETRANSLATE(A6850,""id"",""en"")"),"  is better to take care of the person who fills the gasoline carrying the conductor immediately gets into")</f>
        <v xml:space="preserve">  is better to take care of the person who fills the gasoline carrying the conductor immediately gets into</v>
      </c>
    </row>
    <row r="6669" spans="1:2" x14ac:dyDescent="0.2">
      <c r="A6669" s="1" t="s">
        <v>936</v>
      </c>
      <c r="B6669" s="1" t="str">
        <f ca="1">IFERROR(__xludf.DUMFUNCTION("GOOGLETRANSLATE(A6851,""id"",""en"")"),"Thank you friend, appreciate supporting healthy guard")</f>
        <v>Thank you friend, appreciate supporting healthy guard</v>
      </c>
    </row>
    <row r="6670" spans="1:2" x14ac:dyDescent="0.2">
      <c r="A6670" s="1" t="s">
        <v>937</v>
      </c>
      <c r="B6670" s="1" t="str">
        <f ca="1">IFERROR(__xludf.DUMFUNCTION("GOOGLETRANSLATE(A6852,""id"",""en"")"),"Thank you to support your appreciation, good morning, watch")</f>
        <v>Thank you to support your appreciation, good morning, watch</v>
      </c>
    </row>
    <row r="6671" spans="1:2" x14ac:dyDescent="0.2">
      <c r="A6671" s="1" t="s">
        <v>358</v>
      </c>
      <c r="B6671" s="1" t="str">
        <f ca="1">IFERROR(__xludf.DUMFUNCTION("GOOGLETRANSLATE(A6853,""id"",""en"")"),"Success, friend, thank you to support Atria")</f>
        <v>Success, friend, thank you to support Atria</v>
      </c>
    </row>
    <row r="6672" spans="1:2" x14ac:dyDescent="0.2">
      <c r="A6672" s="1" t="s">
        <v>5804</v>
      </c>
      <c r="B6672" s="1" t="str">
        <f ca="1">IFERROR(__xludf.DUMFUNCTION("GOOGLETRANSLATE(A6854,""id"",""en"")"),"from the   application that is difficult for the people to make it set the bicycle pertalite mot")</f>
        <v>from the   application that is difficult for the people to make it set the bicycle pertalite mot</v>
      </c>
    </row>
    <row r="6673" spans="1:2" x14ac:dyDescent="0.2">
      <c r="A6673" s="1" t="s">
        <v>355</v>
      </c>
      <c r="B6673" s="1" t="str">
        <f ca="1">IFERROR(__xludf.DUMFUNCTION("GOOGLETRANSLATE(A6855,""id"",""en"")"),"hi friend, thank you, yes, support it wholeheartedly in the morning, the success")</f>
        <v>hi friend, thank you, yes, support it wholeheartedly in the morning, the success</v>
      </c>
    </row>
    <row r="6674" spans="1:2" x14ac:dyDescent="0.2">
      <c r="A6674" s="1" t="s">
        <v>5113</v>
      </c>
      <c r="B6674" s="1" t="str">
        <f ca="1">IFERROR(__xludf.DUMFUNCTION("GOOGLETRANSLATE(A6856,""id"",""en"")"),"Fill in Pertalite using   also the link application, the contents of the bank debit card add option")</f>
        <v>Fill in Pertalite using   also the link application, the contents of the bank debit card add option</v>
      </c>
    </row>
    <row r="6675" spans="1:2" x14ac:dyDescent="0.2">
      <c r="A6675" s="1" t="s">
        <v>359</v>
      </c>
      <c r="B6675" s="1" t="str">
        <f ca="1">IFERROR(__xludf.DUMFUNCTION("GOOGLETRANSLATE(A6857,""id"",""en"")"),"hopefully success according to the target")</f>
        <v>hopefully success according to the target</v>
      </c>
    </row>
    <row r="6676" spans="1:2" x14ac:dyDescent="0.2">
      <c r="A6676" s="1" t="s">
        <v>1237</v>
      </c>
      <c r="B6676" s="1" t="str">
        <f ca="1">IFERROR(__xludf.DUMFUNCTION("GOOGLETRANSLATE(A6858,""id"",""en"")"),"just a play so that it is exploded ")</f>
        <v xml:space="preserve">just a play so that it is exploded </v>
      </c>
    </row>
    <row r="6677" spans="1:2" x14ac:dyDescent="0.2">
      <c r="A6677" s="1" t="s">
        <v>937</v>
      </c>
      <c r="B6677" s="1" t="str">
        <f ca="1">IFERROR(__xludf.DUMFUNCTION("GOOGLETRANSLATE(A6859,""id"",""en"")"),"Thank you to support your appreciation, good morning, watch")</f>
        <v>Thank you to support your appreciation, good morning, watch</v>
      </c>
    </row>
    <row r="6678" spans="1:2" x14ac:dyDescent="0.2">
      <c r="A6678" s="1" t="s">
        <v>360</v>
      </c>
      <c r="B6678" s="1" t="str">
        <f ca="1">IFERROR(__xludf.DUMFUNCTION("GOOGLETRANSLATE(A6860,""id"",""en"")"),"hi friend, thank you for the success")</f>
        <v>hi friend, thank you for the success</v>
      </c>
    </row>
    <row r="6679" spans="1:2" x14ac:dyDescent="0.2">
      <c r="A6679" s="1" t="s">
        <v>2356</v>
      </c>
      <c r="B6679" s="1" t="str">
        <f ca="1">IFERROR(__xludf.DUMFUNCTION("GOOGLETRANSLATE(A6861,""id"",""en"")"),"Thank you, friend, spirit, let's support  UMKM")</f>
        <v>Thank you, friend, spirit, let's support  UMKM</v>
      </c>
    </row>
    <row r="6680" spans="1:2" x14ac:dyDescent="0.2">
      <c r="A6680" s="1" t="s">
        <v>361</v>
      </c>
      <c r="B6680" s="1" t="str">
        <f ca="1">IFERROR(__xludf.DUMFUNCTION("GOOGLETRANSLATE(A6863,""id"",""en"")"),"Wakanda's order if it makes it set the people literate")</f>
        <v>Wakanda's order if it makes it set the people literate</v>
      </c>
    </row>
    <row r="6681" spans="1:2" x14ac:dyDescent="0.2">
      <c r="A6681" s="1" t="s">
        <v>2357</v>
      </c>
      <c r="B6681" s="1" t="str">
        <f ca="1">IFERROR(__xludf.DUMFUNCTION("GOOGLETRANSLATE(A6864,""id"",""en"")"),"Thank you for supporting  friend, let's support  Le MSME")</f>
        <v>Thank you for supporting  friend, let's support  Le MSME</v>
      </c>
    </row>
    <row r="6682" spans="1:2" x14ac:dyDescent="0.2">
      <c r="A6682" s="1" t="s">
        <v>1239</v>
      </c>
      <c r="B6682" s="1" t="str">
        <f ca="1">IFERROR(__xludf.DUMFUNCTION("GOOGLETRANSLATE(A6865,""id"",""en"")")," Benefits of Layan Prima Langgan")</f>
        <v xml:space="preserve"> Benefits of Layan Prima Langgan</v>
      </c>
    </row>
    <row r="6683" spans="1:2" x14ac:dyDescent="0.2">
      <c r="A6683" s="1" t="s">
        <v>5805</v>
      </c>
      <c r="B6683" s="1" t="str">
        <f ca="1">IFERROR(__xludf.DUMFUNCTION("GOOGLETRANSLATE(A6866,""id"",""en"")"),"  application is just rising solar pertalite at a price")</f>
        <v xml:space="preserve">  application is just rising solar pertalite at a price</v>
      </c>
    </row>
    <row r="6684" spans="1:2" x14ac:dyDescent="0.2">
      <c r="A6684" s="1" t="s">
        <v>5115</v>
      </c>
      <c r="B6684" s="1" t="str">
        <f ca="1">IFERROR(__xludf.DUMFUNCTION("GOOGLETRANSLATE(A6867,""id"",""en"")")," Test Trial Buy BBM Pertalite Solar Application  Friday July BA")</f>
        <v xml:space="preserve"> Test Trial Buy BBM Pertalite Solar Application  Friday July BA</v>
      </c>
    </row>
    <row r="6685" spans="1:2" x14ac:dyDescent="0.2">
      <c r="A6685" s="1" t="s">
        <v>2355</v>
      </c>
      <c r="B6685" s="1" t="str">
        <f ca="1">IFERROR(__xludf.DUMFUNCTION("GOOGLETRANSLATE(A6868,""id"",""en"")"),"Thank you, friend, spirit, let's support 's MSMEs forward")</f>
        <v>Thank you, friend, spirit, let's support 's MSMEs forward</v>
      </c>
    </row>
    <row r="6686" spans="1:2" x14ac:dyDescent="0.2">
      <c r="A6686" s="1" t="s">
        <v>362</v>
      </c>
      <c r="B6686" s="1" t="str">
        <f ca="1">IFERROR(__xludf.DUMFUNCTION("GOOGLETRANSLATE(A6869,""id"",""en"")"),"pictures of cellphones that gas stations prohibit cellphones using keypad")</f>
        <v>pictures of cellphones that gas stations prohibit cellphones using keypad</v>
      </c>
    </row>
    <row r="6687" spans="1:2" x14ac:dyDescent="0.2">
      <c r="A6687" s="1" t="s">
        <v>1240</v>
      </c>
      <c r="B6687" s="1" t="str">
        <f ca="1">IFERROR(__xludf.DUMFUNCTION("GOOGLETRANSLATE(A6870,""id"",""en"")"),"wonder wisely ngadi broini  open a cellphone to fill gasoline")</f>
        <v>wonder wisely ngadi broini  open a cellphone to fill gasoline</v>
      </c>
    </row>
    <row r="6688" spans="1:2" x14ac:dyDescent="0.2">
      <c r="A6688" s="1" t="s">
        <v>5116</v>
      </c>
      <c r="B6688" s="1" t="str">
        <f ca="1">IFERROR(__xludf.DUMFUNCTION("GOOGLETRANSLATE(A6871,""id"",""en"")"),"  Fill in the Folder")</f>
        <v xml:space="preserve">  Fill in the Folder</v>
      </c>
    </row>
    <row r="6689" spans="1:2" x14ac:dyDescent="0.2">
      <c r="A6689" s="1" t="s">
        <v>363</v>
      </c>
      <c r="B6689" s="1" t="str">
        <f ca="1">IFERROR(__xludf.DUMFUNCTION("GOOGLETRANSLATE(A6872,""id"",""en"")"),"Here it's close")</f>
        <v>Here it's close</v>
      </c>
    </row>
    <row r="6690" spans="1:2" x14ac:dyDescent="0.2">
      <c r="A6690" s="1" t="s">
        <v>5806</v>
      </c>
      <c r="B6690" s="1" t="str">
        <f ca="1">IFERROR(__xludf.DUMFUNCTION("GOOGLETRANSLATE(A6873,""id"",""en"")"),"The contents of the fuel money in thousands of gas stations Buy Data thousand   DATA NGI PERTALITE RB")</f>
        <v>The contents of the fuel money in thousands of gas stations Buy Data thousand   DATA NGI PERTALITE RB</v>
      </c>
    </row>
    <row r="6691" spans="1:2" x14ac:dyDescent="0.2">
      <c r="A6691" s="1" t="s">
        <v>1241</v>
      </c>
      <c r="B6691" s="1" t="str">
        <f ca="1">IFERROR(__xludf.DUMFUNCTION("GOOGLETRANSLATE(A6874,""id"",""en"")")," Strategy Salur BBM subsidized solution to build")</f>
        <v xml:space="preserve"> Strategy Salur BBM subsidized solution to build</v>
      </c>
    </row>
    <row r="6692" spans="1:2" x14ac:dyDescent="0.2">
      <c r="A6692" s="1" t="s">
        <v>5101</v>
      </c>
      <c r="B6692" s="1" t="str">
        <f ca="1">IFERROR(__xludf.DUMFUNCTION("GOOGLETRANSLATE(A6875,""id"",""en"")")," trials the   July Solutions application to build")</f>
        <v xml:space="preserve"> trials the   July Solutions application to build</v>
      </c>
    </row>
    <row r="6693" spans="1:2" x14ac:dyDescent="0.2">
      <c r="A6693" s="1" t="s">
        <v>364</v>
      </c>
      <c r="B6693" s="1" t="str">
        <f ca="1">IFERROR(__xludf.DUMFUNCTION("GOOGLETRANSLATE(A6876,""id"",""en"")"),"Yup Ready July Lo Permanent Province")</f>
        <v>Yup Ready July Lo Permanent Province</v>
      </c>
    </row>
    <row r="6694" spans="1:2" x14ac:dyDescent="0.2">
      <c r="A6694" s="1" t="s">
        <v>5807</v>
      </c>
      <c r="B6694" s="1" t="str">
        <f ca="1">IFERROR(__xludf.DUMFUNCTION("GOOGLETRANSLATE(A6877,""id"",""en"")"),"for the application of   will make it difficult for subsidies to not target jt spd motorcycles")</f>
        <v>for the application of   will make it difficult for subsidies to not target jt spd motorcycles</v>
      </c>
    </row>
    <row r="6695" spans="1:2" x14ac:dyDescent="0.2">
      <c r="A6695" s="1" t="s">
        <v>2358</v>
      </c>
      <c r="B6695" s="1" t="str">
        <f ca="1">IFERROR(__xludf.DUMFUNCTION("GOOGLETRANSLATE(A6880,""id"",""en"")"),"Slm Ahok Komut Ancor mah  Loss TANK KPK AKNIKEH AHOK KSS corrupt there is a rugic one")</f>
        <v>Slm Ahok Komut Ancor mah  Loss TANK KPK AKNIKEH AHOK KSS corrupt there is a rugic one</v>
      </c>
    </row>
    <row r="6696" spans="1:2" x14ac:dyDescent="0.2">
      <c r="A6696" s="1" t="s">
        <v>365</v>
      </c>
      <c r="B6696" s="1" t="str">
        <f ca="1">IFERROR(__xludf.DUMFUNCTION("GOOGLETRANSLATE(A6881,""id"",""en"")"),"employees also play cellphone")</f>
        <v>employees also play cellphone</v>
      </c>
    </row>
    <row r="6697" spans="1:2" x14ac:dyDescent="0.2">
      <c r="A6697" s="1" t="s">
        <v>938</v>
      </c>
      <c r="B6697" s="1" t="str">
        <f ca="1">IFERROR(__xludf.DUMFUNCTION("GOOGLETRANSLATE(A6882,""id"",""en"")"),"Wakanda's command if it makes it set is the people literate")</f>
        <v>Wakanda's command if it makes it set is the people literate</v>
      </c>
    </row>
    <row r="6698" spans="1:2" x14ac:dyDescent="0.2">
      <c r="A6698" s="1" t="s">
        <v>5808</v>
      </c>
      <c r="B6698" s="1" t="str">
        <f ca="1">IFERROR(__xludf.DUMFUNCTION("GOOGLETRANSLATE(A6883,""id"",""en"")")," Kntl Bangsattttt is not willing to download   you think of selling chocolate buns")</f>
        <v xml:space="preserve"> Kntl Bangsattttt is not willing to download   you think of selling chocolate buns</v>
      </c>
    </row>
    <row r="6699" spans="1:2" x14ac:dyDescent="0.2">
      <c r="A6699" s="1" t="s">
        <v>1128</v>
      </c>
      <c r="B6699" s="1" t="str">
        <f ca="1">IFERROR(__xludf.DUMFUNCTION("GOOGLETRANSLATE(A6884,""id"",""en"")")," Terpor Esg Operation Oil Refinery Solution to Build")</f>
        <v xml:space="preserve"> Terpor Esg Operation Oil Refinery Solution to Build</v>
      </c>
    </row>
    <row r="6700" spans="1:2" x14ac:dyDescent="0.2">
      <c r="A6700" s="1" t="s">
        <v>5809</v>
      </c>
      <c r="B6700" s="1" t="str">
        <f ca="1">IFERROR(__xludf.DUMFUNCTION("GOOGLETRANSLATE(A6885,""id"",""en"")"),"Install   Special for Pertalite, it makes it wise")</f>
        <v>Install   Special for Pertalite, it makes it wise</v>
      </c>
    </row>
    <row r="6701" spans="1:2" x14ac:dyDescent="0.2">
      <c r="A6701" s="1" t="s">
        <v>1243</v>
      </c>
      <c r="B6701" s="1" t="str">
        <f ca="1">IFERROR(__xludf.DUMFUNCTION("GOOGLETRANSLATE(A6886,""id"",""en"")"),"said Tai ")</f>
        <v xml:space="preserve">said Tai </v>
      </c>
    </row>
    <row r="6702" spans="1:2" x14ac:dyDescent="0.2">
      <c r="A6702" s="1" t="s">
        <v>1128</v>
      </c>
      <c r="B6702" s="1" t="str">
        <f ca="1">IFERROR(__xludf.DUMFUNCTION("GOOGLETRANSLATE(A6887,""id"",""en"")")," Terpor Esg Operation Oil Refinery Solution to Build")</f>
        <v xml:space="preserve"> Terpor Esg Operation Oil Refinery Solution to Build</v>
      </c>
    </row>
    <row r="6703" spans="1:2" x14ac:dyDescent="0.2">
      <c r="A6703" s="1" t="s">
        <v>939</v>
      </c>
      <c r="B6703" s="1" t="str">
        <f ca="1">IFERROR(__xludf.DUMFUNCTION("GOOGLETRANSLATE(A6889,""id"",""en"")"),"Bpk says added to buy migor using the PED application ID card")</f>
        <v>Bpk says added to buy migor using the PED application ID card</v>
      </c>
    </row>
    <row r="6704" spans="1:2" x14ac:dyDescent="0.2">
      <c r="A6704" s="1" t="s">
        <v>366</v>
      </c>
      <c r="B6704" s="1" t="str">
        <f ca="1">IFERROR(__xludf.DUMFUNCTION("GOOGLETRANSLATE(A6890,""id"",""en"")"),"Alhamdulillah, MSME")</f>
        <v>Alhamdulillah, MSME</v>
      </c>
    </row>
    <row r="6705" spans="1:2" x14ac:dyDescent="0.2">
      <c r="A6705" s="1" t="s">
        <v>5810</v>
      </c>
      <c r="B6705" s="1" t="str">
        <f ca="1">IFERROR(__xludf.DUMFUNCTION("GOOGLETRANSLATE(A6891,""id"",""en"")"),"App Mobile   for Efficient People")</f>
        <v>App Mobile   for Efficient People</v>
      </c>
    </row>
    <row r="6706" spans="1:2" x14ac:dyDescent="0.2">
      <c r="A6706" s="1" t="s">
        <v>368</v>
      </c>
      <c r="B6706" s="1" t="str">
        <f ca="1">IFERROR(__xludf.DUMFUNCTION("GOOGLETRANSLATE(A6892,""id"",""en"")"),"Adjust the trash")</f>
        <v>Adjust the trash</v>
      </c>
    </row>
    <row r="6707" spans="1:2" x14ac:dyDescent="0.2">
      <c r="A6707" s="1" t="s">
        <v>369</v>
      </c>
      <c r="B6707" s="1" t="str">
        <f ca="1">IFERROR(__xludf.DUMFUNCTION("GOOGLETRANSLATE(A6893,""id"",""en"")"),"PERTALITE BBM Subsidies")</f>
        <v>PERTALITE BBM Subsidies</v>
      </c>
    </row>
    <row r="6708" spans="1:2" x14ac:dyDescent="0.2">
      <c r="A6708" s="1" t="s">
        <v>2359</v>
      </c>
      <c r="B6708" s="1" t="str">
        <f ca="1">IFERROR(__xludf.DUMFUNCTION("GOOGLETRANSLATE(A6894,""id"",""en"")"),"waiting for those who commented to buy aj eh, that's the non - outlet, the price will go down")</f>
        <v>waiting for those who commented to buy aj eh, that's the non - outlet, the price will go down</v>
      </c>
    </row>
    <row r="6709" spans="1:2" x14ac:dyDescent="0.2">
      <c r="A6709" s="1" t="s">
        <v>1245</v>
      </c>
      <c r="B6709" s="1" t="str">
        <f ca="1">IFERROR(__xludf.DUMFUNCTION("GOOGLETRANSLATE(A6895,""id"",""en"")"),"July if you buy Pertalite via  application")</f>
        <v>July if you buy Pertalite via  application</v>
      </c>
    </row>
    <row r="6710" spans="1:2" x14ac:dyDescent="0.2">
      <c r="A6710" s="1" t="s">
        <v>940</v>
      </c>
      <c r="B6710" s="1" t="str">
        <f ca="1">IFERROR(__xludf.DUMFUNCTION("GOOGLETRANSLATE(A6896,""id"",""en"")"),"if you watch out, install the gas station CCTV don't pretend to use applications")</f>
        <v>if you watch out, install the gas station CCTV don't pretend to use applications</v>
      </c>
    </row>
    <row r="6711" spans="1:2" x14ac:dyDescent="0.2">
      <c r="A6711" s="1" t="s">
        <v>2360</v>
      </c>
      <c r="B6711" s="1" t="str">
        <f ca="1">IFERROR(__xludf.DUMFUNCTION("GOOGLETRANSLATE(A6897,""id"",""en"")")," is very suitable to use  application, , which is serfive, is a long nantry")</f>
        <v xml:space="preserve"> is very suitable to use  application, , which is serfive, is a long nantry</v>
      </c>
    </row>
    <row r="6712" spans="1:2" x14ac:dyDescent="0.2">
      <c r="A6712" s="1" t="s">
        <v>371</v>
      </c>
      <c r="B6712" s="1" t="str">
        <f ca="1">IFERROR(__xludf.DUMFUNCTION("GOOGLETRANSLATE(A6898,""id"",""en"")"),"wonder the drunk consumption of pertalite and solar")</f>
        <v>wonder the drunk consumption of pertalite and solar</v>
      </c>
    </row>
    <row r="6713" spans="1:2" x14ac:dyDescent="0.2">
      <c r="A6713" s="1" t="s">
        <v>372</v>
      </c>
      <c r="B6713" s="1" t="str">
        <f ca="1">IFERROR(__xludf.DUMFUNCTION("GOOGLETRANSLATE(A6899,""id"",""en"")"),"Really Kali Ana is destroyed by the Swordsman")</f>
        <v>Really Kali Ana is destroyed by the Swordsman</v>
      </c>
    </row>
    <row r="6714" spans="1:2" x14ac:dyDescent="0.2">
      <c r="A6714" s="1" t="s">
        <v>5124</v>
      </c>
      <c r="B6714" s="1" t="str">
        <f ca="1">IFERROR(__xludf.DUMFUNCTION("GOOGLETRANSLATE(A6900,""id"",""en"")"),"Yok Download   Let's Play Hp Pombensin")</f>
        <v>Yok Download   Let's Play Hp Pombensin</v>
      </c>
    </row>
    <row r="6715" spans="1:2" x14ac:dyDescent="0.2">
      <c r="A6715" s="1" t="s">
        <v>941</v>
      </c>
      <c r="B6715" s="1" t="str">
        <f ca="1">IFERROR(__xludf.DUMFUNCTION("GOOGLETRANSLATE(A6901,""id"",""en"")"),"hello the team thinks to be the one who hopes to set")</f>
        <v>hello the team thinks to be the one who hopes to set</v>
      </c>
    </row>
    <row r="6716" spans="1:2" x14ac:dyDescent="0.2">
      <c r="A6716" s="1" t="s">
        <v>374</v>
      </c>
      <c r="B6716" s="1" t="str">
        <f ca="1">IFERROR(__xludf.DUMFUNCTION("GOOGLETRANSLATE(A6902,""id"",""en"")"),"Yes broooooooo")</f>
        <v>Yes broooooooo</v>
      </c>
    </row>
    <row r="6717" spans="1:2" x14ac:dyDescent="0.2">
      <c r="A6717" s="1" t="s">
        <v>1016</v>
      </c>
      <c r="B6717" s="1" t="str">
        <f ca="1">IFERROR(__xludf.DUMFUNCTION("GOOGLETRANSLATE(A6903,""id"",""en"")")," Ep Boreh West Papua Well")</f>
        <v xml:space="preserve"> Ep Boreh West Papua Well</v>
      </c>
    </row>
    <row r="6718" spans="1:2" x14ac:dyDescent="0.2">
      <c r="A6718" s="1" t="s">
        <v>942</v>
      </c>
      <c r="B6718" s="1" t="str">
        <f ca="1">IFERROR(__xludf.DUMFUNCTION("GOOGLETRANSLATE(A6904,""id"",""en"")"),"the front does not avoid the digital system that flowers")</f>
        <v>the front does not avoid the digital system that flowers</v>
      </c>
    </row>
    <row r="6719" spans="1:2" x14ac:dyDescent="0.2">
      <c r="A6719" s="1" t="s">
        <v>1247</v>
      </c>
      <c r="B6719" s="1" t="str">
        <f ca="1">IFERROR(__xludf.DUMFUNCTION("GOOGLETRANSLATE(A6905,""id"",""en"")"),"don't you understand the technology of people who have been bothering age, ")</f>
        <v xml:space="preserve">don't you understand the technology of people who have been bothering age, </v>
      </c>
    </row>
    <row r="6720" spans="1:2" x14ac:dyDescent="0.2">
      <c r="A6720" s="1" t="s">
        <v>376</v>
      </c>
      <c r="B6720" s="1" t="str">
        <f ca="1">IFERROR(__xludf.DUMFUNCTION("GOOGLETRANSLATE(A6906,""id"",""en"")"),"Both community service")</f>
        <v>Both community service</v>
      </c>
    </row>
    <row r="6721" spans="1:2" x14ac:dyDescent="0.2">
      <c r="A6721" s="1" t="s">
        <v>943</v>
      </c>
      <c r="B6721" s="1" t="str">
        <f ca="1">IFERROR(__xludf.DUMFUNCTION("GOOGLETRANSLATE(A6907,""id"",""en"")"),"the country does not take care of the country backward negaraty")</f>
        <v>the country does not take care of the country backward negaraty</v>
      </c>
    </row>
    <row r="6722" spans="1:2" x14ac:dyDescent="0.2">
      <c r="A6722" s="1" t="s">
        <v>1248</v>
      </c>
      <c r="B6722" s="1" t="str">
        <f ca="1">IFERROR(__xludf.DUMFUNCTION("GOOGLETRANSLATE(A6908,""id"",""en"")")," both Indonesian people")</f>
        <v xml:space="preserve"> both Indonesian people</v>
      </c>
    </row>
    <row r="6723" spans="1:2" x14ac:dyDescent="0.2">
      <c r="A6723" s="1" t="s">
        <v>378</v>
      </c>
      <c r="B6723" s="1" t="str">
        <f ca="1">IFERROR(__xludf.DUMFUNCTION("GOOGLETRANSLATE(A6909,""id"",""en"")"),"Kyai Inus")</f>
        <v>Kyai Inus</v>
      </c>
    </row>
    <row r="6724" spans="1:2" x14ac:dyDescent="0.2">
      <c r="A6724" s="1" t="s">
        <v>5125</v>
      </c>
      <c r="B6724" s="1" t="str">
        <f ca="1">IFERROR(__xludf.DUMFUNCTION("GOOGLETRANSLATE(A6910,""id"",""en"")"),"the province of permanent July  buy subsidized fuel")</f>
        <v>the province of permanent July  buy subsidized fuel</v>
      </c>
    </row>
    <row r="6725" spans="1:2" x14ac:dyDescent="0.2">
      <c r="A6725" s="1" t="s">
        <v>5126</v>
      </c>
      <c r="B6725" s="1" t="str">
        <f ca="1">IFERROR(__xludf.DUMFUNCTION("GOOGLETRANSLATE(A6911,""id"",""en"")"),"  Cares for Protection")</f>
        <v xml:space="preserve">  Cares for Protection</v>
      </c>
    </row>
    <row r="6726" spans="1:2" x14ac:dyDescent="0.2">
      <c r="A6726" s="1" t="s">
        <v>379</v>
      </c>
      <c r="B6726" s="1" t="str">
        <f ca="1">IFERROR(__xludf.DUMFUNCTION("GOOGLETRANSLATE(A6912,""id"",""en"")"),"Data collected nihhh points")</f>
        <v>Data collected nihhh points</v>
      </c>
    </row>
    <row r="6727" spans="1:2" x14ac:dyDescent="0.2">
      <c r="A6727" s="1" t="s">
        <v>944</v>
      </c>
      <c r="B6727" s="1" t="str">
        <f ca="1">IFERROR(__xludf.DUMFUNCTION("GOOGLETRANSLATE(A6913,""id"",""en"")"),"Mafia that Garuda trillion is not a dove etc.")</f>
        <v>Mafia that Garuda trillion is not a dove etc.</v>
      </c>
    </row>
    <row r="6728" spans="1:2" x14ac:dyDescent="0.2">
      <c r="A6728" s="1" t="s">
        <v>945</v>
      </c>
      <c r="B6728" s="1" t="str">
        <f ca="1">IFERROR(__xludf.DUMFUNCTION("GOOGLETRANSLATE(A6914,""id"",""en"")"),"Read the news, don't just take the title, if you have a trial on July, open the list")</f>
        <v>Read the news, don't just take the title, if you have a trial on July, open the list</v>
      </c>
    </row>
    <row r="6729" spans="1:2" x14ac:dyDescent="0.2">
      <c r="A6729" s="1" t="s">
        <v>381</v>
      </c>
      <c r="B6729" s="1" t="str">
        <f ca="1">IFERROR(__xludf.DUMFUNCTION("GOOGLETRANSLATE(A6915,""id"",""en"")"),"let's see together to understand")</f>
        <v>let's see together to understand</v>
      </c>
    </row>
    <row r="6730" spans="1:2" x14ac:dyDescent="0.2">
      <c r="A6730" s="1" t="s">
        <v>2361</v>
      </c>
      <c r="B6730" s="1" t="str">
        <f ca="1">IFERROR(__xludf.DUMFUNCTION("GOOGLETRANSLATE(A6917,""id"",""en"")")," class garbage app makes the full bugs app eh not making you listen to the sc team deva")</f>
        <v xml:space="preserve"> class garbage app makes the full bugs app eh not making you listen to the sc team deva</v>
      </c>
    </row>
    <row r="6731" spans="1:2" x14ac:dyDescent="0.2">
      <c r="A6731" s="1" t="s">
        <v>383</v>
      </c>
      <c r="B6731" s="1" t="str">
        <f ca="1">IFERROR(__xludf.DUMFUNCTION("GOOGLETRANSLATE(A6919,""id"",""en"")"),"orders here here heh I fill gasoline red plate car filled with Pertalite Asyuuuuuu")</f>
        <v>orders here here heh I fill gasoline red plate car filled with Pertalite Asyuuuuuu</v>
      </c>
    </row>
    <row r="6732" spans="1:2" x14ac:dyDescent="0.2">
      <c r="A6732" s="1" t="s">
        <v>1250</v>
      </c>
      <c r="B6732" s="1" t="str">
        <f ca="1">IFERROR(__xludf.DUMFUNCTION("GOOGLETRANSLATE(A6920,""id"",""en"")"),"just try to give  work so it can't refuse")</f>
        <v>just try to give  work so it can't refuse</v>
      </c>
    </row>
    <row r="6733" spans="1:2" x14ac:dyDescent="0.2">
      <c r="A6733" s="1" t="s">
        <v>2362</v>
      </c>
      <c r="B6733" s="1" t="str">
        <f ca="1">IFERROR(__xludf.DUMFUNCTION("GOOGLETRANSLATE(A6921,""id"",""en"")"),"If you go to , the application for the contents of BBM is one to prevent the vehicle")</f>
        <v>If you go to , the application for the contents of BBM is one to prevent the vehicle</v>
      </c>
    </row>
    <row r="6734" spans="1:2" x14ac:dyDescent="0.2">
      <c r="A6734" s="1" t="s">
        <v>384</v>
      </c>
      <c r="B6734" s="1" t="str">
        <f ca="1">IFERROR(__xludf.DUMFUNCTION("GOOGLETRANSLATE(A6922,""id"",""en"")"),"I hope the Sasar Salur BBM subsidized")</f>
        <v>I hope the Sasar Salur BBM subsidized</v>
      </c>
    </row>
    <row r="6735" spans="1:2" x14ac:dyDescent="0.2">
      <c r="A6735" s="1" t="s">
        <v>946</v>
      </c>
      <c r="B6735" s="1" t="str">
        <f ca="1">IFERROR(__xludf.DUMFUNCTION("GOOGLETRANSLATE(A6923,""id"",""en"")"),"halah who cheats control the contents of the castor oil just meet the gas station so")</f>
        <v>halah who cheats control the contents of the castor oil just meet the gas station so</v>
      </c>
    </row>
    <row r="6736" spans="1:2" x14ac:dyDescent="0.2">
      <c r="A6736" s="1" t="s">
        <v>1253</v>
      </c>
      <c r="B6736" s="1" t="str">
        <f ca="1">IFERROR(__xludf.DUMFUNCTION("GOOGLETRANSLATE(A6925,""id"",""en"")")," App Please Bang Brando Kumandang aka Attacking Playstore Star Leaks Dead")</f>
        <v xml:space="preserve"> App Please Bang Brando Kumandang aka Attacking Playstore Star Leaks Dead</v>
      </c>
    </row>
    <row r="6737" spans="1:2" x14ac:dyDescent="0.2">
      <c r="A6737" s="1" t="s">
        <v>1254</v>
      </c>
      <c r="B6737" s="1" t="str">
        <f ca="1">IFERROR(__xludf.DUMFUNCTION("GOOGLETRANSLATE(A6927,""id"",""en"")"),"'s work results")</f>
        <v>'s work results</v>
      </c>
    </row>
    <row r="6738" spans="1:2" x14ac:dyDescent="0.2">
      <c r="A6738" s="1" t="s">
        <v>947</v>
      </c>
      <c r="B6738" s="1" t="str">
        <f ca="1">IFERROR(__xludf.DUMFUNCTION("GOOGLETRANSLATE(A6928,""id"",""en"")"),"Lha, the internet nets are just even flat, making it a strange set")</f>
        <v>Lha, the internet nets are just even flat, making it a strange set</v>
      </c>
    </row>
    <row r="6739" spans="1:2" x14ac:dyDescent="0.2">
      <c r="A6739" s="1" t="s">
        <v>948</v>
      </c>
      <c r="B6739" s="1" t="str">
        <f ca="1">IFERROR(__xludf.DUMFUNCTION("GOOGLETRANSLATE(A6929,""id"",""en"")"),"Just buying Pertalite eh forgot to buy Pertamax the day, the day of the RB ltr now")</f>
        <v>Just buying Pertalite eh forgot to buy Pertamax the day, the day of the RB ltr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myPertaminaTranslate_0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2022-07-01T07:18:44Z</dcterms:created>
  <dcterms:modified xsi:type="dcterms:W3CDTF">2022-07-01T07:24:43Z</dcterms:modified>
</cp:coreProperties>
</file>