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delman\Training\edX Training\Statistics in Excel (DAT222x)\"/>
    </mc:Choice>
  </mc:AlternateContent>
  <bookViews>
    <workbookView xWindow="0" yWindow="0" windowWidth="21525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R12" i="1" s="1"/>
  <c r="Q10" i="1"/>
  <c r="Q9" i="1"/>
  <c r="Q6" i="1"/>
  <c r="R6" i="1" s="1"/>
  <c r="Q5" i="1"/>
  <c r="R5" i="1" s="1"/>
  <c r="E154" i="1"/>
  <c r="E153" i="1"/>
  <c r="E155" i="1" s="1"/>
  <c r="F157" i="1" s="1"/>
  <c r="E149" i="1"/>
  <c r="E151" i="1" s="1"/>
  <c r="E132" i="1"/>
  <c r="E133" i="1" s="1"/>
  <c r="E134" i="1" s="1"/>
  <c r="F139" i="1" s="1"/>
  <c r="E130" i="1"/>
  <c r="E136" i="1" s="1"/>
  <c r="E137" i="1" s="1"/>
  <c r="F140" i="1" s="1"/>
  <c r="E117" i="1"/>
  <c r="F120" i="1" s="1"/>
  <c r="E114" i="1"/>
  <c r="E101" i="1"/>
  <c r="E103" i="1" s="1"/>
  <c r="E91" i="1"/>
  <c r="E82" i="1"/>
  <c r="E81" i="1"/>
  <c r="I69" i="1"/>
  <c r="I70" i="1"/>
  <c r="I71" i="1"/>
  <c r="I68" i="1"/>
  <c r="F70" i="1" s="1"/>
  <c r="F69" i="1"/>
  <c r="F60" i="1"/>
  <c r="F63" i="1" s="1"/>
  <c r="F155" i="1"/>
  <c r="F153" i="1"/>
  <c r="F154" i="1"/>
  <c r="F136" i="1"/>
  <c r="F133" i="1"/>
  <c r="F134" i="1"/>
  <c r="F132" i="1"/>
  <c r="F137" i="1"/>
  <c r="F117" i="1"/>
  <c r="G63" i="1"/>
  <c r="F71" i="1" l="1"/>
  <c r="D52" i="1" l="1"/>
  <c r="D50" i="1"/>
  <c r="D49" i="1"/>
  <c r="D40" i="1"/>
  <c r="D32" i="1"/>
  <c r="D23" i="1"/>
  <c r="J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" i="1"/>
  <c r="E52" i="1"/>
  <c r="E50" i="1"/>
  <c r="E49" i="1"/>
  <c r="E40" i="1"/>
  <c r="D10" i="1" l="1"/>
  <c r="D9" i="1"/>
  <c r="D8" i="1"/>
  <c r="D7" i="1"/>
  <c r="C9" i="1"/>
  <c r="C7" i="1"/>
  <c r="C8" i="1"/>
  <c r="C10" i="1"/>
  <c r="D11" i="1" l="1"/>
</calcChain>
</file>

<file path=xl/sharedStrings.xml><?xml version="1.0" encoding="utf-8"?>
<sst xmlns="http://schemas.openxmlformats.org/spreadsheetml/2006/main" count="161" uniqueCount="135">
  <si>
    <t>Yes</t>
  </si>
  <si>
    <t>No</t>
  </si>
  <si>
    <t>Low (.9)</t>
  </si>
  <si>
    <t>High (.1)</t>
  </si>
  <si>
    <t>P(L|A) = P(A|L)*P(L) / ( P(A|L)*P(L) + P(A|H)P(H) )</t>
  </si>
  <si>
    <t>P(A|L) =</t>
  </si>
  <si>
    <t>P(L) =</t>
  </si>
  <si>
    <t xml:space="preserve">P(A|H) = </t>
  </si>
  <si>
    <t>P(H)=</t>
  </si>
  <si>
    <t xml:space="preserve">P(L|A) = </t>
  </si>
  <si>
    <t>Profit Contribution</t>
  </si>
  <si>
    <t>Probability</t>
  </si>
  <si>
    <t>E(PC) =</t>
  </si>
  <si>
    <t>Adapt 178</t>
  </si>
  <si>
    <t>Adapt 163</t>
  </si>
  <si>
    <t>Adapt 121</t>
  </si>
  <si>
    <t>N=</t>
  </si>
  <si>
    <t>LB=</t>
  </si>
  <si>
    <t>UB=</t>
  </si>
  <si>
    <t>A</t>
  </si>
  <si>
    <t>P(BRV&gt;=2) =</t>
  </si>
  <si>
    <t>test value</t>
  </si>
  <si>
    <t>mean(1)</t>
  </si>
  <si>
    <t>Range</t>
  </si>
  <si>
    <t>Adapt 187</t>
  </si>
  <si>
    <t>S = {1, 2, 3, …}</t>
  </si>
  <si>
    <t>P(&gt; 1) =</t>
  </si>
  <si>
    <t>Adapt 196</t>
  </si>
  <si>
    <t>Test Value =</t>
  </si>
  <si>
    <t>GT/LT =</t>
  </si>
  <si>
    <t>GT</t>
  </si>
  <si>
    <t>Mean =</t>
  </si>
  <si>
    <t>Std Dev =</t>
  </si>
  <si>
    <t>LT</t>
  </si>
  <si>
    <t>B</t>
  </si>
  <si>
    <t>Prob (&lt; .98) =</t>
  </si>
  <si>
    <t>Prob (&gt; 1.04) =</t>
  </si>
  <si>
    <t>Prob (.98 &lt; x &lt; 1.04) =</t>
  </si>
  <si>
    <t>Adapt 210</t>
  </si>
  <si>
    <t>Prob with mu, sigma</t>
  </si>
  <si>
    <t>mu</t>
  </si>
  <si>
    <t>sigma</t>
  </si>
  <si>
    <t>n</t>
  </si>
  <si>
    <t>s = sigma/sqrt(n) =</t>
  </si>
  <si>
    <t>x</t>
  </si>
  <si>
    <t>Adapt 246</t>
  </si>
  <si>
    <t>P(xbar &lt;= 390) =</t>
  </si>
  <si>
    <t>SE of Xbar</t>
  </si>
  <si>
    <t xml:space="preserve">S{} = </t>
  </si>
  <si>
    <t>delta^2</t>
  </si>
  <si>
    <t>xbar = average(S{}) =</t>
  </si>
  <si>
    <t>var = sum(delta^2)*.25 =</t>
  </si>
  <si>
    <t>s= sqrt(var/n) =</t>
  </si>
  <si>
    <t>{2,3,5,8}</t>
  </si>
  <si>
    <t>Upper, Lower Bound with value</t>
  </si>
  <si>
    <t>xbar</t>
  </si>
  <si>
    <t>s</t>
  </si>
  <si>
    <t>Z = 99% CI =</t>
  </si>
  <si>
    <t>UB = xbar+(s/sqrt(n))*Z =</t>
  </si>
  <si>
    <t>LB = xbar-(s/sqrt(n))*Z =</t>
  </si>
  <si>
    <t>Sample size with StdDev</t>
  </si>
  <si>
    <t>Z = 95% =</t>
  </si>
  <si>
    <t>E</t>
  </si>
  <si>
    <t>n = (Z*(s/E))^2 =</t>
  </si>
  <si>
    <t>Sample size with StdDev &amp; FCF</t>
  </si>
  <si>
    <t>N</t>
  </si>
  <si>
    <t>N0 = (Z*(s/E))^2 =</t>
  </si>
  <si>
    <t>n = (N0 *N)/(N0+N-1) =</t>
  </si>
  <si>
    <t>Adapt 282</t>
  </si>
  <si>
    <t>Adapt 273</t>
  </si>
  <si>
    <t>Adapt 259</t>
  </si>
  <si>
    <t>Adapt 252</t>
  </si>
  <si>
    <t>One tailed Lower</t>
  </si>
  <si>
    <t>H0: Mu &gt;= Mu0</t>
  </si>
  <si>
    <t>Ha: Mu &lt; Mu0</t>
  </si>
  <si>
    <t>alpha</t>
  </si>
  <si>
    <t>|Xbar - mu|</t>
  </si>
  <si>
    <t xml:space="preserve">So … Prob(Xbar &lt;= x) = </t>
  </si>
  <si>
    <t>P(Xbar &lt;= x) =</t>
  </si>
  <si>
    <t>If P &gt; alpha, fail to reject H0, else reject H0</t>
  </si>
  <si>
    <t>Adapt 311</t>
  </si>
  <si>
    <t>One tailed Upper</t>
  </si>
  <si>
    <t>H0: Mu &lt;= Mu0</t>
  </si>
  <si>
    <t>Ha: Mu &gt; Mu0</t>
  </si>
  <si>
    <t>x-bar</t>
  </si>
  <si>
    <t>Xbar - mu0</t>
  </si>
  <si>
    <t>Critical T-Score = T(alpha, n-1) =</t>
  </si>
  <si>
    <t>Critical Region = | T(alpha, n-1)|*(s/sqrt(n)) =</t>
  </si>
  <si>
    <t>So … Xbar &gt;= Mu0+t(alpha)*s/sqrt(n) =</t>
  </si>
  <si>
    <t>T-statistic = (xbar-Mu0)/(s/sqrt(n)) =</t>
  </si>
  <si>
    <t>P-score = P(T(n-1) &gt;= T-statistic) = 1-P(T(n-1) &lt; T-statistic</t>
  </si>
  <si>
    <t xml:space="preserve">if xbar &gt;= Mu0+t(alpha)*s/sqrt(n), reject H0 else fail to reject H0 </t>
  </si>
  <si>
    <t>Adapt 344</t>
  </si>
  <si>
    <t>Two-tailed</t>
  </si>
  <si>
    <t>H0: P-hat = P0</t>
  </si>
  <si>
    <t>Ha: P-hat &lt;&gt; P0</t>
  </si>
  <si>
    <t>P0</t>
  </si>
  <si>
    <t>sigma = sqrt(P*Q/n) =</t>
  </si>
  <si>
    <t>Z = (Phat - P0)/sigma =</t>
  </si>
  <si>
    <t>Left Tailed Value =</t>
  </si>
  <si>
    <t>Right Tailed Value =</t>
  </si>
  <si>
    <t>P-value =</t>
  </si>
  <si>
    <t>If P-value &lt; alpha, reject H0 else fail to reject H0</t>
  </si>
  <si>
    <t>Adapt 359</t>
  </si>
  <si>
    <t>Adapt 403</t>
  </si>
  <si>
    <t>Process A</t>
  </si>
  <si>
    <t>Process B</t>
  </si>
  <si>
    <t>2-sample Z Test</t>
  </si>
  <si>
    <t>2-sample T, unequal</t>
  </si>
  <si>
    <t>H0: Mu(A) = Mu(B)</t>
  </si>
  <si>
    <t>Ha: Mu(A) &lt;&gt; Mu(B)</t>
  </si>
  <si>
    <t>Z</t>
  </si>
  <si>
    <t>P-val(T)</t>
  </si>
  <si>
    <t>Var T</t>
  </si>
  <si>
    <t>Var B</t>
  </si>
  <si>
    <t>Variance Test</t>
  </si>
  <si>
    <t>F.TEST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</si>
  <si>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</si>
  <si>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</si>
  <si>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</si>
  <si>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</si>
  <si>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</si>
  <si>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</si>
  <si>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</si>
  <si>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</si>
  <si>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</si>
  <si>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</si>
  <si>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t-Test: Two-Sample Assuming Unequal Variances</t>
  </si>
  <si>
    <t>Variance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</si>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</sst>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tabSelected="1" topLeftCell="C1" workbookViewId="0">
      <selection activeCell="M4" sqref="M4"/>
    </sheetView>
  </sheetViews>
  <sheetFormatPr defaultRowHeight="15" x14ac:dyDescent="0.25"/>
  <cols>
    <col min="1" max="1" width="10" bestFit="1" customWidth="1"/>
    <col min="2" max="2" width="49.28515625" bestFit="1" customWidth="1"/>
    <col min="3" max="3" width="19.5703125" bestFit="1" customWidth="1"/>
  </cols>
  <sheetData>
    <row r="1" spans="1:22" x14ac:dyDescent="0.25">
      <c r="A1" s="1"/>
      <c r="B1" s="1"/>
      <c r="C1" s="1" t="s">
        <v>2</v>
      </c>
      <c r="D1" s="1" t="s">
        <v>3</v>
      </c>
      <c r="H1" t="s">
        <v>14</v>
      </c>
      <c r="I1">
        <v>1</v>
      </c>
      <c r="J1">
        <f>I1*(1/15)</f>
        <v>6.6666666666666666E-2</v>
      </c>
      <c r="M1" s="7" t="s">
        <v>104</v>
      </c>
      <c r="N1" s="7"/>
      <c r="O1" s="7"/>
      <c r="P1" s="7"/>
      <c r="Q1" s="7"/>
      <c r="U1" t="s">
        <v>105</v>
      </c>
      <c r="V1" t="s">
        <v>106</v>
      </c>
    </row>
    <row r="2" spans="1:22" x14ac:dyDescent="0.25">
      <c r="A2" s="1" t="s">
        <v>15</v>
      </c>
      <c r="B2" s="1" t="s">
        <v>0</v>
      </c>
      <c r="C2" s="1">
        <v>0.1</v>
      </c>
      <c r="D2" s="1">
        <v>0.75</v>
      </c>
      <c r="I2">
        <v>2</v>
      </c>
      <c r="J2">
        <f t="shared" ref="J2:J15" si="0">I2*(1/15)</f>
        <v>0.13333333333333333</v>
      </c>
      <c r="P2" s="2"/>
      <c r="R2" t="s">
        <v>107</v>
      </c>
      <c r="U2">
        <v>88.252702125845929</v>
      </c>
      <c r="V2">
        <v>100.5824933290539</v>
      </c>
    </row>
    <row r="3" spans="1:22" x14ac:dyDescent="0.25">
      <c r="A3" s="1"/>
      <c r="B3" s="1" t="s">
        <v>1</v>
      </c>
      <c r="C3" s="1">
        <v>0.9</v>
      </c>
      <c r="D3" s="1">
        <v>0.25</v>
      </c>
      <c r="I3">
        <v>3</v>
      </c>
      <c r="J3">
        <f t="shared" si="0"/>
        <v>0.2</v>
      </c>
      <c r="P3" s="2"/>
      <c r="R3" t="s">
        <v>108</v>
      </c>
      <c r="U3">
        <v>98.78174674372228</v>
      </c>
      <c r="V3">
        <v>101.12918043429703</v>
      </c>
    </row>
    <row r="4" spans="1:22" x14ac:dyDescent="0.25">
      <c r="A4" s="1"/>
      <c r="B4" s="1"/>
      <c r="C4" s="1"/>
      <c r="D4" s="1"/>
      <c r="I4">
        <v>4</v>
      </c>
      <c r="J4">
        <f t="shared" si="0"/>
        <v>0.26666666666666666</v>
      </c>
      <c r="M4" t="s">
        <v>109</v>
      </c>
      <c r="P4" s="2" t="s">
        <v>75</v>
      </c>
      <c r="Q4">
        <v>0.05</v>
      </c>
      <c r="U4">
        <v>95.267488833280368</v>
      </c>
      <c r="V4">
        <v>98.331928324065785</v>
      </c>
    </row>
    <row r="5" spans="1:22" x14ac:dyDescent="0.25">
      <c r="A5" s="1"/>
      <c r="B5" s="1" t="s">
        <v>4</v>
      </c>
      <c r="C5" s="1"/>
      <c r="D5" s="1"/>
      <c r="I5">
        <v>5</v>
      </c>
      <c r="J5">
        <f t="shared" si="0"/>
        <v>0.33333333333333331</v>
      </c>
      <c r="M5" t="s">
        <v>110</v>
      </c>
      <c r="P5" s="2" t="s">
        <v>111</v>
      </c>
      <c r="Q5">
        <f>S24</f>
        <v>0.54113473155450897</v>
      </c>
      <c r="R5" s="8" t="str">
        <f>IF(Q5&lt;Q4, "Reject", "Fail to Reject")</f>
        <v>Fail to Reject</v>
      </c>
      <c r="U5">
        <v>107.63205052231424</v>
      </c>
      <c r="V5">
        <v>99.865975021871961</v>
      </c>
    </row>
    <row r="6" spans="1:22" x14ac:dyDescent="0.25">
      <c r="A6" s="1"/>
      <c r="B6" s="1"/>
      <c r="C6" s="1"/>
      <c r="D6" s="1"/>
      <c r="I6">
        <v>6</v>
      </c>
      <c r="J6">
        <f t="shared" si="0"/>
        <v>0.4</v>
      </c>
      <c r="P6" s="2" t="s">
        <v>112</v>
      </c>
      <c r="Q6">
        <f>S39</f>
        <v>0.67005771720547092</v>
      </c>
      <c r="R6" s="8" t="str">
        <f>IF(Q6&lt;Q4, "Reject", "Fail to Reject")</f>
        <v>Fail to Reject</v>
      </c>
      <c r="U6">
        <v>105.15347198173789</v>
      </c>
      <c r="V6">
        <v>97.397623440195929</v>
      </c>
    </row>
    <row r="7" spans="1:22" x14ac:dyDescent="0.25">
      <c r="A7" s="1"/>
      <c r="B7" s="1" t="s">
        <v>5</v>
      </c>
      <c r="C7" s="1" t="str">
        <f ca="1">_xlfn.FORMULATEXT(D7)</f>
        <v>=0.1</v>
      </c>
      <c r="D7" s="1">
        <f>0.1</f>
        <v>0.1</v>
      </c>
      <c r="I7">
        <v>7</v>
      </c>
      <c r="J7">
        <f t="shared" si="0"/>
        <v>0.46666666666666667</v>
      </c>
      <c r="P7" s="2"/>
      <c r="U7">
        <v>103.44142114289858</v>
      </c>
      <c r="V7">
        <v>99.321623337930092</v>
      </c>
    </row>
    <row r="8" spans="1:22" x14ac:dyDescent="0.25">
      <c r="A8" s="1"/>
      <c r="B8" s="1" t="s">
        <v>6</v>
      </c>
      <c r="C8" s="1" t="str">
        <f ca="1">_xlfn.FORMULATEXT(D8)</f>
        <v>=0.9</v>
      </c>
      <c r="D8" s="1">
        <f>0.9</f>
        <v>0.9</v>
      </c>
      <c r="I8">
        <v>8</v>
      </c>
      <c r="J8">
        <f t="shared" si="0"/>
        <v>0.53333333333333333</v>
      </c>
      <c r="P8" s="2"/>
      <c r="U8">
        <v>82.381610224899802</v>
      </c>
      <c r="V8">
        <v>101.21662616151265</v>
      </c>
    </row>
    <row r="9" spans="1:22" x14ac:dyDescent="0.25">
      <c r="A9" s="1"/>
      <c r="B9" s="1" t="s">
        <v>7</v>
      </c>
      <c r="C9" s="1" t="str">
        <f ca="1">_xlfn.FORMULATEXT(D9)</f>
        <v>=0.75</v>
      </c>
      <c r="D9" s="1">
        <f>0.75</f>
        <v>0.75</v>
      </c>
      <c r="I9">
        <v>9</v>
      </c>
      <c r="J9">
        <f t="shared" si="0"/>
        <v>0.6</v>
      </c>
      <c r="P9" s="2" t="s">
        <v>113</v>
      </c>
      <c r="Q9">
        <f>_xlfn.VAR.P(U2:U101)</f>
        <v>43.924510501494751</v>
      </c>
      <c r="U9">
        <v>91.703151175044979</v>
      </c>
      <c r="V9">
        <v>98.943862943884469</v>
      </c>
    </row>
    <row r="10" spans="1:22" x14ac:dyDescent="0.25">
      <c r="A10" s="1"/>
      <c r="B10" s="1" t="s">
        <v>8</v>
      </c>
      <c r="C10" s="1" t="str">
        <f ca="1">_xlfn.FORMULATEXT(D10)</f>
        <v>=0.1</v>
      </c>
      <c r="D10" s="1">
        <f>0.1</f>
        <v>0.1</v>
      </c>
      <c r="I10">
        <v>10</v>
      </c>
      <c r="J10">
        <f t="shared" si="0"/>
        <v>0.66666666666666663</v>
      </c>
      <c r="P10" s="2" t="s">
        <v>114</v>
      </c>
      <c r="Q10">
        <f>_xlfn.VAR.P(V2:V101)</f>
        <v>3.6721832510326546</v>
      </c>
      <c r="U10">
        <v>107.53672585268359</v>
      </c>
      <c r="V10">
        <v>104.10039587341504</v>
      </c>
    </row>
    <row r="11" spans="1:22" x14ac:dyDescent="0.25">
      <c r="A11" s="1"/>
      <c r="B11" s="1" t="s">
        <v>9</v>
      </c>
      <c r="C11" s="1"/>
      <c r="D11" s="1">
        <f>(D7*D8)/(D7*D8+D9*D10)</f>
        <v>0.54545454545454541</v>
      </c>
      <c r="I11">
        <v>11</v>
      </c>
      <c r="J11">
        <f t="shared" si="0"/>
        <v>0.73333333333333328</v>
      </c>
      <c r="P11" s="2"/>
      <c r="U11">
        <v>108.04943047436703</v>
      </c>
      <c r="V11">
        <v>98.176279209983619</v>
      </c>
    </row>
    <row r="12" spans="1:22" x14ac:dyDescent="0.25">
      <c r="I12">
        <v>12</v>
      </c>
      <c r="J12">
        <f t="shared" si="0"/>
        <v>0.8</v>
      </c>
      <c r="O12" t="s">
        <v>115</v>
      </c>
      <c r="P12" s="2" t="s">
        <v>116</v>
      </c>
      <c r="Q12">
        <f>_xlfn.F.TEST(U2:U89, V2:V89)</f>
        <v>9.6550376724537844E-26</v>
      </c>
      <c r="R12" t="str">
        <f>IF(Q12&lt;Q4, "Unequal", "Equal")</f>
        <v>Unequal</v>
      </c>
      <c r="U12">
        <v>113.79729747074519</v>
      </c>
      <c r="V12">
        <v>98.890816030747786</v>
      </c>
    </row>
    <row r="13" spans="1:22" x14ac:dyDescent="0.25">
      <c r="I13">
        <v>13</v>
      </c>
      <c r="J13">
        <f t="shared" si="0"/>
        <v>0.8666666666666667</v>
      </c>
      <c r="P13" s="2"/>
      <c r="U13">
        <v>106.50188997730022</v>
      </c>
      <c r="V13">
        <v>101.2680537518584</v>
      </c>
    </row>
    <row r="14" spans="1:22" x14ac:dyDescent="0.25">
      <c r="I14">
        <v>14</v>
      </c>
      <c r="J14">
        <f t="shared" si="0"/>
        <v>0.93333333333333335</v>
      </c>
      <c r="P14" s="2"/>
      <c r="R14" t="s">
        <v>117</v>
      </c>
      <c r="U14">
        <v>96.211653519756283</v>
      </c>
      <c r="V14">
        <v>102.84258135066773</v>
      </c>
    </row>
    <row r="15" spans="1:22" ht="15.75" thickBot="1" x14ac:dyDescent="0.3">
      <c r="I15">
        <v>15</v>
      </c>
      <c r="J15">
        <f t="shared" si="0"/>
        <v>1</v>
      </c>
      <c r="P15" s="2"/>
      <c r="U15">
        <v>101.54935021809595</v>
      </c>
      <c r="V15">
        <v>98.476449546152395</v>
      </c>
    </row>
    <row r="16" spans="1:22" x14ac:dyDescent="0.25">
      <c r="J16">
        <f>SUM(J1:J15)</f>
        <v>8</v>
      </c>
      <c r="P16" s="2"/>
      <c r="R16" s="11"/>
      <c r="S16" s="11">
        <v>88.252702125845929</v>
      </c>
      <c r="T16" s="11">
        <v>100.5824933290539</v>
      </c>
      <c r="U16">
        <v>103.88379969566101</v>
      </c>
      <c r="V16">
        <v>97.116705428223113</v>
      </c>
    </row>
    <row r="17" spans="2:22" x14ac:dyDescent="0.25">
      <c r="C17" t="s">
        <v>13</v>
      </c>
      <c r="P17" s="2"/>
      <c r="R17" s="12" t="s">
        <v>118</v>
      </c>
      <c r="S17" s="12">
        <v>100.27547195844143</v>
      </c>
      <c r="T17" s="12">
        <v>99.851749361993555</v>
      </c>
      <c r="U17">
        <v>98.315438773487614</v>
      </c>
      <c r="V17">
        <v>99.223925128902181</v>
      </c>
    </row>
    <row r="18" spans="2:22" x14ac:dyDescent="0.25">
      <c r="C18" s="2" t="s">
        <v>10</v>
      </c>
      <c r="D18" t="s">
        <v>11</v>
      </c>
      <c r="P18" s="2"/>
      <c r="R18" s="12" t="s">
        <v>119</v>
      </c>
      <c r="S18" s="12">
        <v>43.924509999999998</v>
      </c>
      <c r="T18" s="12">
        <v>3.672183</v>
      </c>
      <c r="U18">
        <v>112.79271173896149</v>
      </c>
      <c r="V18">
        <v>102.75551493872935</v>
      </c>
    </row>
    <row r="19" spans="2:22" x14ac:dyDescent="0.25">
      <c r="C19" s="3">
        <v>-40000</v>
      </c>
      <c r="D19">
        <v>0.4</v>
      </c>
      <c r="P19" s="2"/>
      <c r="R19" s="12" t="s">
        <v>120</v>
      </c>
      <c r="S19" s="12">
        <v>99</v>
      </c>
      <c r="T19" s="12">
        <v>99</v>
      </c>
      <c r="U19">
        <v>95.542143671658323</v>
      </c>
      <c r="V19">
        <v>100.65493451809627</v>
      </c>
    </row>
    <row r="20" spans="2:22" x14ac:dyDescent="0.25">
      <c r="C20" s="3">
        <v>60000</v>
      </c>
      <c r="D20">
        <v>0.1</v>
      </c>
      <c r="P20" s="2"/>
      <c r="R20" s="12" t="s">
        <v>121</v>
      </c>
      <c r="S20" s="12">
        <v>0</v>
      </c>
      <c r="T20" s="12"/>
      <c r="U20">
        <v>101.70774595341142</v>
      </c>
      <c r="V20">
        <v>99.635959507797779</v>
      </c>
    </row>
    <row r="21" spans="2:22" x14ac:dyDescent="0.25">
      <c r="C21" s="3">
        <v>100000</v>
      </c>
      <c r="D21">
        <v>0.5</v>
      </c>
      <c r="P21" s="2"/>
      <c r="R21" s="12" t="s">
        <v>122</v>
      </c>
      <c r="S21" s="12">
        <v>0.61109795807594847</v>
      </c>
      <c r="T21" s="12"/>
      <c r="U21">
        <v>92.974451357249166</v>
      </c>
      <c r="V21">
        <v>100.00152306945209</v>
      </c>
    </row>
    <row r="22" spans="2:22" x14ac:dyDescent="0.25">
      <c r="C22" s="2"/>
      <c r="P22" s="2"/>
      <c r="R22" s="12" t="s">
        <v>123</v>
      </c>
      <c r="S22" s="12">
        <v>0.27056736577725449</v>
      </c>
      <c r="T22" s="12"/>
      <c r="U22">
        <v>95.546824723631516</v>
      </c>
      <c r="V22">
        <v>99.632387223715725</v>
      </c>
    </row>
    <row r="23" spans="2:22" x14ac:dyDescent="0.25">
      <c r="C23" s="2" t="s">
        <v>12</v>
      </c>
      <c r="D23">
        <f>SUMPRODUCT(C19:C21, D19:D21)</f>
        <v>40000</v>
      </c>
      <c r="P23" s="2"/>
      <c r="R23" s="12" t="s">
        <v>124</v>
      </c>
      <c r="S23" s="12">
        <v>1.6448536269514715</v>
      </c>
      <c r="T23" s="12"/>
      <c r="U23">
        <v>104.47374638756328</v>
      </c>
      <c r="V23">
        <v>99.97331038030228</v>
      </c>
    </row>
    <row r="24" spans="2:22" x14ac:dyDescent="0.25">
      <c r="P24" s="2"/>
      <c r="R24" s="12" t="s">
        <v>125</v>
      </c>
      <c r="S24" s="12">
        <v>0.54113473155450897</v>
      </c>
      <c r="T24" s="12"/>
      <c r="U24">
        <v>98.731559558455217</v>
      </c>
      <c r="V24">
        <v>98.118975941489452</v>
      </c>
    </row>
    <row r="25" spans="2:22" ht="15.75" thickBot="1" x14ac:dyDescent="0.3">
      <c r="P25" s="2"/>
      <c r="R25" s="13" t="s">
        <v>126</v>
      </c>
      <c r="S25" s="13">
        <v>1.9599639845400536</v>
      </c>
      <c r="T25" s="13"/>
      <c r="U25">
        <v>99.000742121564713</v>
      </c>
      <c r="V25">
        <v>97.604857903524973</v>
      </c>
    </row>
    <row r="26" spans="2:22" x14ac:dyDescent="0.25">
      <c r="B26" s="2" t="s">
        <v>24</v>
      </c>
      <c r="C26" s="2" t="s">
        <v>8</v>
      </c>
      <c r="D26">
        <v>0.04</v>
      </c>
      <c r="G26" s="2"/>
      <c r="P26" s="2"/>
      <c r="U26">
        <v>111.65085480685818</v>
      </c>
      <c r="V26">
        <v>98.886379647521039</v>
      </c>
    </row>
    <row r="27" spans="2:22" x14ac:dyDescent="0.25">
      <c r="C27" s="2" t="s">
        <v>16</v>
      </c>
      <c r="D27">
        <v>100</v>
      </c>
      <c r="G27" s="2"/>
      <c r="P27" s="2"/>
      <c r="U27">
        <v>93.963740414927486</v>
      </c>
      <c r="V27">
        <v>98.424550605836529</v>
      </c>
    </row>
    <row r="28" spans="2:22" x14ac:dyDescent="0.25">
      <c r="C28" s="2" t="s">
        <v>17</v>
      </c>
      <c r="D28">
        <v>2</v>
      </c>
      <c r="G28" s="2"/>
      <c r="P28" s="2"/>
      <c r="R28" t="s">
        <v>127</v>
      </c>
      <c r="U28">
        <v>99.769314978124157</v>
      </c>
      <c r="V28">
        <v>101.94749765668473</v>
      </c>
    </row>
    <row r="29" spans="2:22" ht="15.75" thickBot="1" x14ac:dyDescent="0.3">
      <c r="C29" s="2" t="s">
        <v>18</v>
      </c>
      <c r="D29">
        <v>2</v>
      </c>
      <c r="G29" s="2"/>
      <c r="P29" s="2"/>
      <c r="U29">
        <v>107.5839228475802</v>
      </c>
      <c r="V29">
        <v>101.24863160863286</v>
      </c>
    </row>
    <row r="30" spans="2:22" x14ac:dyDescent="0.25">
      <c r="C30" s="2"/>
      <c r="D30" t="s">
        <v>19</v>
      </c>
      <c r="G30" s="2"/>
      <c r="P30" s="2"/>
      <c r="R30" s="11"/>
      <c r="S30" s="11" t="s">
        <v>105</v>
      </c>
      <c r="T30" s="11" t="s">
        <v>106</v>
      </c>
      <c r="U30">
        <v>107.22686321828316</v>
      </c>
      <c r="V30">
        <v>100.8034786296658</v>
      </c>
    </row>
    <row r="31" spans="2:22" x14ac:dyDescent="0.25">
      <c r="C31" s="2"/>
      <c r="G31" s="2"/>
      <c r="H31" s="4"/>
      <c r="P31" s="2"/>
      <c r="R31" s="12" t="s">
        <v>118</v>
      </c>
      <c r="S31" s="12">
        <v>100.15524426011548</v>
      </c>
      <c r="T31" s="12">
        <v>99.859056801664153</v>
      </c>
      <c r="U31">
        <v>98.492899005685118</v>
      </c>
      <c r="V31">
        <v>97.58451639306422</v>
      </c>
    </row>
    <row r="32" spans="2:22" x14ac:dyDescent="0.25">
      <c r="C32" s="2" t="s">
        <v>20</v>
      </c>
      <c r="D32" s="4">
        <f>_xlfn.BINOM.DIST.RANGE(D27, D26, D28, D29)</f>
        <v>0.14497930699011416</v>
      </c>
      <c r="P32" s="2"/>
      <c r="R32" s="12" t="s">
        <v>128</v>
      </c>
      <c r="S32" s="12">
        <v>44.368192425752277</v>
      </c>
      <c r="T32" s="12">
        <v>3.7092760111440954</v>
      </c>
      <c r="U32">
        <v>106.46530373555325</v>
      </c>
      <c r="V32">
        <v>98.256416007619322</v>
      </c>
    </row>
    <row r="33" spans="2:22" x14ac:dyDescent="0.25">
      <c r="P33" s="2"/>
      <c r="R33" s="12" t="s">
        <v>120</v>
      </c>
      <c r="S33" s="12">
        <v>100</v>
      </c>
      <c r="T33" s="12">
        <v>100</v>
      </c>
      <c r="U33">
        <v>108.65154065327897</v>
      </c>
      <c r="V33">
        <v>97.217536875557514</v>
      </c>
    </row>
    <row r="34" spans="2:22" x14ac:dyDescent="0.25">
      <c r="P34" s="2"/>
      <c r="R34" s="12" t="s">
        <v>121</v>
      </c>
      <c r="S34" s="12">
        <v>0</v>
      </c>
      <c r="T34" s="12"/>
      <c r="U34">
        <v>101.94186936541728</v>
      </c>
      <c r="V34">
        <v>97.644667658921549</v>
      </c>
    </row>
    <row r="35" spans="2:22" x14ac:dyDescent="0.25">
      <c r="C35" s="2" t="s">
        <v>27</v>
      </c>
      <c r="F35" t="s">
        <v>25</v>
      </c>
      <c r="P35" s="2"/>
      <c r="R35" s="12" t="s">
        <v>129</v>
      </c>
      <c r="S35" s="12">
        <v>115</v>
      </c>
      <c r="T35" s="12"/>
      <c r="U35">
        <v>96.991249828806147</v>
      </c>
      <c r="V35">
        <v>100.72227739688256</v>
      </c>
    </row>
    <row r="36" spans="2:22" x14ac:dyDescent="0.25">
      <c r="C36" s="2" t="s">
        <v>21</v>
      </c>
      <c r="D36">
        <v>1</v>
      </c>
      <c r="P36" s="2"/>
      <c r="R36" s="12" t="s">
        <v>130</v>
      </c>
      <c r="S36" s="12">
        <v>0.42716520467355218</v>
      </c>
      <c r="T36" s="12"/>
      <c r="U36">
        <v>96.971694407433233</v>
      </c>
      <c r="V36">
        <v>103.1377043502073</v>
      </c>
    </row>
    <row r="37" spans="2:22" x14ac:dyDescent="0.25">
      <c r="C37" s="2" t="s">
        <v>22</v>
      </c>
      <c r="D37">
        <v>2.6</v>
      </c>
      <c r="P37" s="2"/>
      <c r="R37" s="12" t="s">
        <v>131</v>
      </c>
      <c r="S37" s="12">
        <v>0.33502885860273546</v>
      </c>
      <c r="T37" s="12"/>
      <c r="U37">
        <v>102.07758177624915</v>
      </c>
      <c r="V37">
        <v>100.03869317128732</v>
      </c>
    </row>
    <row r="38" spans="2:22" x14ac:dyDescent="0.25">
      <c r="C38" s="2" t="s">
        <v>23</v>
      </c>
      <c r="D38" t="b">
        <v>1</v>
      </c>
      <c r="P38" s="2"/>
      <c r="R38" s="12" t="s">
        <v>132</v>
      </c>
      <c r="S38" s="12">
        <v>1.658211830031149</v>
      </c>
      <c r="T38" s="12"/>
      <c r="U38">
        <v>91.990748958505748</v>
      </c>
      <c r="V38">
        <v>101.32249257984351</v>
      </c>
    </row>
    <row r="39" spans="2:22" x14ac:dyDescent="0.25">
      <c r="C39" s="2"/>
      <c r="P39" s="2"/>
      <c r="R39" s="12" t="s">
        <v>133</v>
      </c>
      <c r="S39" s="12">
        <v>0.67005771720547092</v>
      </c>
      <c r="T39" s="12"/>
      <c r="U39">
        <v>101.21845799643282</v>
      </c>
      <c r="V39">
        <v>99.972408075824191</v>
      </c>
    </row>
    <row r="40" spans="2:22" ht="15.75" thickBot="1" x14ac:dyDescent="0.3">
      <c r="C40" s="2" t="s">
        <v>26</v>
      </c>
      <c r="D40" s="4">
        <f>1-_xlfn.POISSON.DIST(D36, D37, D38)</f>
        <v>0.73261511842839799</v>
      </c>
      <c r="E40" t="str">
        <f ca="1">_xlfn.FORMULATEXT(D40)</f>
        <v>=1-POISSON.DIST(D36, D37, D38)</v>
      </c>
      <c r="P40" s="2"/>
      <c r="R40" s="13" t="s">
        <v>134</v>
      </c>
      <c r="S40" s="13">
        <v>1.9808075411039101</v>
      </c>
      <c r="T40" s="13"/>
      <c r="U40">
        <v>102.38613194978745</v>
      </c>
      <c r="V40">
        <v>100.60977289649152</v>
      </c>
    </row>
    <row r="41" spans="2:22" x14ac:dyDescent="0.25">
      <c r="U41">
        <v>92.437444100800548</v>
      </c>
      <c r="V41">
        <v>97.895432493283295</v>
      </c>
    </row>
    <row r="42" spans="2:22" x14ac:dyDescent="0.25">
      <c r="U42">
        <v>99.352772919883918</v>
      </c>
      <c r="V42">
        <v>100.15191448564362</v>
      </c>
    </row>
    <row r="43" spans="2:22" x14ac:dyDescent="0.25">
      <c r="B43" s="2" t="s">
        <v>38</v>
      </c>
      <c r="C43" s="2" t="s">
        <v>28</v>
      </c>
      <c r="D43">
        <v>0.98</v>
      </c>
      <c r="E43">
        <v>1.04</v>
      </c>
      <c r="U43">
        <v>101.510303008056</v>
      </c>
      <c r="V43">
        <v>103.68399383431017</v>
      </c>
    </row>
    <row r="44" spans="2:22" x14ac:dyDescent="0.25">
      <c r="C44" s="2" t="s">
        <v>29</v>
      </c>
      <c r="D44" t="s">
        <v>33</v>
      </c>
      <c r="E44" t="s">
        <v>30</v>
      </c>
      <c r="U44">
        <v>102.01727068591252</v>
      </c>
      <c r="V44">
        <v>99.991821005516783</v>
      </c>
    </row>
    <row r="45" spans="2:22" x14ac:dyDescent="0.25">
      <c r="C45" s="2" t="s">
        <v>31</v>
      </c>
      <c r="D45">
        <v>1</v>
      </c>
      <c r="E45">
        <v>1</v>
      </c>
      <c r="U45">
        <v>100.69510994695217</v>
      </c>
      <c r="V45">
        <v>96.834939104041212</v>
      </c>
    </row>
    <row r="46" spans="2:22" x14ac:dyDescent="0.25">
      <c r="C46" s="2" t="s">
        <v>32</v>
      </c>
      <c r="D46">
        <v>0.05</v>
      </c>
      <c r="E46">
        <v>0.05</v>
      </c>
      <c r="U46">
        <v>98.81428349155091</v>
      </c>
      <c r="V46">
        <v>99.692509563505013</v>
      </c>
    </row>
    <row r="47" spans="2:22" x14ac:dyDescent="0.25">
      <c r="C47" s="2"/>
      <c r="D47" t="s">
        <v>19</v>
      </c>
      <c r="E47" t="s">
        <v>34</v>
      </c>
      <c r="U47">
        <v>103.29441042007602</v>
      </c>
      <c r="V47">
        <v>103.98326989946951</v>
      </c>
    </row>
    <row r="48" spans="2:22" x14ac:dyDescent="0.25">
      <c r="C48" s="2"/>
      <c r="U48">
        <v>119.17999339628648</v>
      </c>
      <c r="V48">
        <v>97.925856567477553</v>
      </c>
    </row>
    <row r="49" spans="2:22" x14ac:dyDescent="0.25">
      <c r="C49" s="2" t="s">
        <v>35</v>
      </c>
      <c r="D49" s="5">
        <f>IF(D44="LT", _xlfn.NORM.DIST(D43,D45,D46,TRUE), 1-_xlfn.NORM.DIST(D43,D45,D46,TRUE))</f>
        <v>0.34457825838967565</v>
      </c>
      <c r="E49" t="str">
        <f ca="1">_xlfn.FORMULATEXT(D49)</f>
        <v>=IF(D44="LT", NORM.DIST(D43,D45,D46,TRUE), 1-NORM.DIST(D43,D45,D46,TRUE))</v>
      </c>
      <c r="U49">
        <v>97.204269686151207</v>
      </c>
      <c r="V49">
        <v>99.630693920716709</v>
      </c>
    </row>
    <row r="50" spans="2:22" x14ac:dyDescent="0.25">
      <c r="C50" s="2" t="s">
        <v>36</v>
      </c>
      <c r="D50" s="5">
        <f>IF(E44="LT", _xlfn.NORM.DIST(E43,E45,E46,TRUE), 1-_xlfn.NORM.DIST(E43,E45,E46,TRUE))</f>
        <v>0.21185539858339641</v>
      </c>
      <c r="E50" t="str">
        <f ca="1">_xlfn.FORMULATEXT(D50)</f>
        <v>=IF(E44="LT", NORM.DIST(E43,E45,E46,TRUE), 1-NORM.DIST(E43,E45,E46,TRUE))</v>
      </c>
      <c r="U50">
        <v>94.478800781825043</v>
      </c>
      <c r="V50">
        <v>100.23097290398898</v>
      </c>
    </row>
    <row r="51" spans="2:22" x14ac:dyDescent="0.25">
      <c r="U51">
        <v>109.82761775215707</v>
      </c>
      <c r="V51">
        <v>96.136243696149691</v>
      </c>
    </row>
    <row r="52" spans="2:22" x14ac:dyDescent="0.25">
      <c r="C52" s="2" t="s">
        <v>37</v>
      </c>
      <c r="D52" s="6">
        <f>1-(D49+D50)</f>
        <v>0.44356634302692788</v>
      </c>
      <c r="E52" t="str">
        <f ca="1">_xlfn.FORMULATEXT(D52)</f>
        <v>=1-(D49+D50)</v>
      </c>
      <c r="U52">
        <v>92.411196627997839</v>
      </c>
      <c r="V52">
        <v>100.31127175342003</v>
      </c>
    </row>
    <row r="53" spans="2:22" x14ac:dyDescent="0.25">
      <c r="U53">
        <v>105.86045432160947</v>
      </c>
      <c r="V53">
        <v>100.89106249387761</v>
      </c>
    </row>
    <row r="54" spans="2:22" x14ac:dyDescent="0.25">
      <c r="U54">
        <v>103.09157286172402</v>
      </c>
      <c r="V54">
        <v>99.946137427652516</v>
      </c>
    </row>
    <row r="55" spans="2:22" x14ac:dyDescent="0.25">
      <c r="B55" s="7" t="s">
        <v>45</v>
      </c>
      <c r="C55" s="7"/>
      <c r="D55" s="7"/>
      <c r="E55" s="7"/>
      <c r="F55" s="7"/>
      <c r="U55">
        <v>93.943573527364222</v>
      </c>
      <c r="V55">
        <v>98.005081572070594</v>
      </c>
    </row>
    <row r="56" spans="2:22" x14ac:dyDescent="0.25">
      <c r="C56" s="2"/>
      <c r="E56" s="2"/>
      <c r="H56" s="8" t="s">
        <v>39</v>
      </c>
      <c r="U56">
        <v>95.003776456460358</v>
      </c>
      <c r="V56">
        <v>96.123091240677866</v>
      </c>
    </row>
    <row r="57" spans="2:22" x14ac:dyDescent="0.25">
      <c r="C57" s="2"/>
      <c r="E57" s="2" t="s">
        <v>40</v>
      </c>
      <c r="F57">
        <v>400</v>
      </c>
      <c r="U57">
        <v>96.168564318058728</v>
      </c>
      <c r="V57">
        <v>101.57896505589748</v>
      </c>
    </row>
    <row r="58" spans="2:22" x14ac:dyDescent="0.25">
      <c r="C58" s="2"/>
      <c r="E58" s="2" t="s">
        <v>41</v>
      </c>
      <c r="F58">
        <v>20</v>
      </c>
      <c r="U58">
        <v>101.26238467877306</v>
      </c>
      <c r="V58">
        <v>98.8917548951257</v>
      </c>
    </row>
    <row r="59" spans="2:22" x14ac:dyDescent="0.25">
      <c r="C59" s="2"/>
      <c r="E59" s="2" t="s">
        <v>42</v>
      </c>
      <c r="F59">
        <v>25</v>
      </c>
      <c r="U59">
        <v>97.92909608231318</v>
      </c>
      <c r="V59">
        <v>97.639563273848637</v>
      </c>
    </row>
    <row r="60" spans="2:22" x14ac:dyDescent="0.25">
      <c r="C60" s="2"/>
      <c r="E60" s="2" t="s">
        <v>43</v>
      </c>
      <c r="F60">
        <f>F58/SQRT(F59)</f>
        <v>4</v>
      </c>
      <c r="U60">
        <v>112.97591144076598</v>
      </c>
      <c r="V60">
        <v>100.91881120702418</v>
      </c>
    </row>
    <row r="61" spans="2:22" x14ac:dyDescent="0.25">
      <c r="C61" s="2"/>
      <c r="E61" s="2" t="s">
        <v>44</v>
      </c>
      <c r="F61">
        <v>390</v>
      </c>
      <c r="U61">
        <v>108.91710266778767</v>
      </c>
      <c r="V61">
        <v>99.089379596641592</v>
      </c>
    </row>
    <row r="62" spans="2:22" x14ac:dyDescent="0.25">
      <c r="C62" s="2"/>
      <c r="E62" s="2"/>
      <c r="U62">
        <v>97.481620743048779</v>
      </c>
      <c r="V62">
        <v>104.33886428464534</v>
      </c>
    </row>
    <row r="63" spans="2:22" x14ac:dyDescent="0.25">
      <c r="C63" s="2"/>
      <c r="E63" s="2" t="s">
        <v>46</v>
      </c>
      <c r="F63">
        <f>_xlfn.NORM.DIST(F61,F57,F60, TRUE)</f>
        <v>6.2096653257761331E-3</v>
      </c>
      <c r="G63" t="str">
        <f ca="1">_xlfn.FORMULATEXT(F63)</f>
        <v>=NORM.DIST(F61,F57,F60, TRUE)</v>
      </c>
      <c r="U63">
        <v>103.05170543578036</v>
      </c>
      <c r="V63">
        <v>99.152085251776043</v>
      </c>
    </row>
    <row r="64" spans="2:22" x14ac:dyDescent="0.25">
      <c r="U64">
        <v>98.533502875270202</v>
      </c>
      <c r="V64">
        <v>99.818155495245648</v>
      </c>
    </row>
    <row r="65" spans="1:22" x14ac:dyDescent="0.25">
      <c r="B65" s="7" t="s">
        <v>71</v>
      </c>
      <c r="C65" s="7"/>
      <c r="D65" s="7"/>
      <c r="E65" s="7"/>
      <c r="F65" s="7"/>
      <c r="U65">
        <v>97.275517836614426</v>
      </c>
      <c r="V65">
        <v>100.77516270526232</v>
      </c>
    </row>
    <row r="66" spans="1:22" x14ac:dyDescent="0.25">
      <c r="B66" s="9"/>
      <c r="C66" s="9"/>
      <c r="D66" s="9"/>
      <c r="E66" s="9"/>
      <c r="F66" s="9"/>
      <c r="H66" s="8" t="s">
        <v>47</v>
      </c>
      <c r="U66">
        <v>106.26127071533008</v>
      </c>
      <c r="V66">
        <v>100.24786288052623</v>
      </c>
    </row>
    <row r="67" spans="1:22" x14ac:dyDescent="0.25">
      <c r="C67" s="2"/>
      <c r="E67" s="2" t="s">
        <v>48</v>
      </c>
      <c r="F67" t="s">
        <v>53</v>
      </c>
      <c r="I67" t="s">
        <v>49</v>
      </c>
      <c r="U67">
        <v>100.08580481368881</v>
      </c>
      <c r="V67">
        <v>99.745055767937103</v>
      </c>
    </row>
    <row r="68" spans="1:22" x14ac:dyDescent="0.25">
      <c r="C68" s="2"/>
      <c r="E68" s="2" t="s">
        <v>42</v>
      </c>
      <c r="F68">
        <v>3</v>
      </c>
      <c r="H68">
        <v>2</v>
      </c>
      <c r="I68">
        <f>(H68-$F$69)^2</f>
        <v>6.25</v>
      </c>
      <c r="U68">
        <v>93.677135604180592</v>
      </c>
      <c r="V68">
        <v>99.746169132981606</v>
      </c>
    </row>
    <row r="69" spans="1:22" x14ac:dyDescent="0.25">
      <c r="C69" s="2"/>
      <c r="E69" s="2" t="s">
        <v>50</v>
      </c>
      <c r="F69">
        <f>AVERAGE(H68:H71)</f>
        <v>4.5</v>
      </c>
      <c r="H69">
        <v>3</v>
      </c>
      <c r="I69">
        <f t="shared" ref="I69:I71" si="1">(H69-$F$69)^2</f>
        <v>2.25</v>
      </c>
      <c r="U69">
        <v>102.02934657171527</v>
      </c>
      <c r="V69">
        <v>103.20429858428155</v>
      </c>
    </row>
    <row r="70" spans="1:22" x14ac:dyDescent="0.25">
      <c r="C70" s="2"/>
      <c r="E70" s="2" t="s">
        <v>51</v>
      </c>
      <c r="F70">
        <f>SUM(I68:I71)/4</f>
        <v>5.25</v>
      </c>
      <c r="H70">
        <v>5</v>
      </c>
      <c r="I70">
        <f t="shared" si="1"/>
        <v>0.25</v>
      </c>
      <c r="U70">
        <v>97.182563418231595</v>
      </c>
      <c r="V70">
        <v>98.429263746967933</v>
      </c>
    </row>
    <row r="71" spans="1:22" x14ac:dyDescent="0.25">
      <c r="C71" s="2"/>
      <c r="E71" s="2" t="s">
        <v>52</v>
      </c>
      <c r="F71">
        <f>SQRT(F70/F68)</f>
        <v>1.3228756555322954</v>
      </c>
      <c r="H71">
        <v>8</v>
      </c>
      <c r="I71">
        <f t="shared" si="1"/>
        <v>12.25</v>
      </c>
      <c r="U71">
        <v>91.178737136405985</v>
      </c>
      <c r="V71">
        <v>98.796739331430345</v>
      </c>
    </row>
    <row r="72" spans="1:22" x14ac:dyDescent="0.25">
      <c r="U72">
        <v>110.68582832804708</v>
      </c>
      <c r="V72">
        <v>98.378159054784319</v>
      </c>
    </row>
    <row r="73" spans="1:22" x14ac:dyDescent="0.25">
      <c r="U73">
        <v>106.19360413132098</v>
      </c>
      <c r="V73">
        <v>103.70465351534237</v>
      </c>
    </row>
    <row r="74" spans="1:22" x14ac:dyDescent="0.25">
      <c r="A74" s="7" t="s">
        <v>70</v>
      </c>
      <c r="B74" s="7"/>
      <c r="C74" s="7"/>
      <c r="D74" s="7"/>
      <c r="E74" s="7"/>
      <c r="U74">
        <v>92.728965522823771</v>
      </c>
      <c r="V74">
        <v>96.042318391406852</v>
      </c>
    </row>
    <row r="75" spans="1:22" x14ac:dyDescent="0.25">
      <c r="B75" s="2"/>
      <c r="D75" s="2"/>
      <c r="G75" s="8" t="s">
        <v>54</v>
      </c>
      <c r="U75">
        <v>113.25585961450123</v>
      </c>
      <c r="V75">
        <v>97.943182736668575</v>
      </c>
    </row>
    <row r="76" spans="1:22" x14ac:dyDescent="0.25">
      <c r="B76" s="2"/>
      <c r="D76" s="2" t="s">
        <v>55</v>
      </c>
      <c r="E76">
        <v>35</v>
      </c>
      <c r="U76">
        <v>100.60130281921238</v>
      </c>
      <c r="V76">
        <v>98.113409720710308</v>
      </c>
    </row>
    <row r="77" spans="1:22" x14ac:dyDescent="0.25">
      <c r="B77" s="2"/>
      <c r="D77" s="2" t="s">
        <v>56</v>
      </c>
      <c r="E77">
        <v>10</v>
      </c>
      <c r="U77">
        <v>94.674771010033723</v>
      </c>
      <c r="V77">
        <v>101.5994377113924</v>
      </c>
    </row>
    <row r="78" spans="1:22" x14ac:dyDescent="0.25">
      <c r="B78" s="2"/>
      <c r="D78" s="2" t="s">
        <v>42</v>
      </c>
      <c r="E78">
        <v>200</v>
      </c>
      <c r="U78">
        <v>102.7832844646525</v>
      </c>
      <c r="V78">
        <v>100.70443284570234</v>
      </c>
    </row>
    <row r="79" spans="1:22" x14ac:dyDescent="0.25">
      <c r="B79" s="2"/>
      <c r="D79" s="2" t="s">
        <v>57</v>
      </c>
      <c r="E79">
        <v>2.5760000000000001</v>
      </c>
      <c r="U79">
        <v>92.50983353707062</v>
      </c>
      <c r="V79">
        <v>102.39311481699795</v>
      </c>
    </row>
    <row r="80" spans="1:22" x14ac:dyDescent="0.25">
      <c r="B80" s="2"/>
      <c r="D80" s="2"/>
      <c r="U80">
        <v>102.7071798682521</v>
      </c>
      <c r="V80">
        <v>97.841783259718213</v>
      </c>
    </row>
    <row r="81" spans="1:22" x14ac:dyDescent="0.25">
      <c r="B81" s="2"/>
      <c r="D81" s="2" t="s">
        <v>58</v>
      </c>
      <c r="E81">
        <f>E76+(E77/SQRT(E78))*E79</f>
        <v>36.821507068336544</v>
      </c>
      <c r="U81">
        <v>94.119945137909852</v>
      </c>
      <c r="V81">
        <v>99.951840849891568</v>
      </c>
    </row>
    <row r="82" spans="1:22" x14ac:dyDescent="0.25">
      <c r="B82" s="2"/>
      <c r="D82" s="2" t="s">
        <v>59</v>
      </c>
      <c r="E82">
        <f>E76-(E77/SQRT(E78))*E79</f>
        <v>33.178492931663456</v>
      </c>
      <c r="U82">
        <v>95.995136569443204</v>
      </c>
      <c r="V82">
        <v>101.58240079319377</v>
      </c>
    </row>
    <row r="83" spans="1:22" x14ac:dyDescent="0.25">
      <c r="U83">
        <v>92.944641948190281</v>
      </c>
      <c r="V83">
        <v>99.47875626903371</v>
      </c>
    </row>
    <row r="84" spans="1:22" x14ac:dyDescent="0.25">
      <c r="U84">
        <v>100.96878713328904</v>
      </c>
      <c r="V84">
        <v>97.566104111871425</v>
      </c>
    </row>
    <row r="85" spans="1:22" x14ac:dyDescent="0.25">
      <c r="A85" s="7" t="s">
        <v>69</v>
      </c>
      <c r="B85" s="7"/>
      <c r="C85" s="7"/>
      <c r="D85" s="7"/>
      <c r="E85" s="7"/>
      <c r="U85">
        <v>90.176557623156725</v>
      </c>
      <c r="V85">
        <v>99.440530390264215</v>
      </c>
    </row>
    <row r="86" spans="1:22" x14ac:dyDescent="0.25">
      <c r="B86" s="2"/>
      <c r="D86" s="2"/>
      <c r="G86" s="8" t="s">
        <v>60</v>
      </c>
      <c r="U86">
        <v>111.18142768715373</v>
      </c>
      <c r="V86">
        <v>102.44706682862046</v>
      </c>
    </row>
    <row r="87" spans="1:22" x14ac:dyDescent="0.25">
      <c r="B87" s="2"/>
      <c r="D87" s="2" t="s">
        <v>56</v>
      </c>
      <c r="E87">
        <v>20000</v>
      </c>
      <c r="U87">
        <v>96.312282998755677</v>
      </c>
      <c r="V87">
        <v>99.952831901138666</v>
      </c>
    </row>
    <row r="88" spans="1:22" x14ac:dyDescent="0.25">
      <c r="B88" s="2"/>
      <c r="D88" s="2" t="s">
        <v>61</v>
      </c>
      <c r="E88">
        <v>1.96</v>
      </c>
      <c r="U88">
        <v>94.194983012319852</v>
      </c>
      <c r="V88">
        <v>97.388590427126275</v>
      </c>
    </row>
    <row r="89" spans="1:22" x14ac:dyDescent="0.25">
      <c r="B89" s="2"/>
      <c r="D89" s="2" t="s">
        <v>62</v>
      </c>
      <c r="E89">
        <v>5000</v>
      </c>
      <c r="U89">
        <v>106.88634402855631</v>
      </c>
      <c r="V89">
        <v>99.332006891208579</v>
      </c>
    </row>
    <row r="90" spans="1:22" x14ac:dyDescent="0.25">
      <c r="B90" s="2"/>
      <c r="D90" s="2"/>
      <c r="U90">
        <v>85.219092476125795</v>
      </c>
      <c r="V90">
        <v>100.81109973744115</v>
      </c>
    </row>
    <row r="91" spans="1:22" x14ac:dyDescent="0.25">
      <c r="B91" s="2"/>
      <c r="D91" s="2" t="s">
        <v>63</v>
      </c>
      <c r="E91">
        <f>(E88*E87/E89)^2</f>
        <v>61.465599999999995</v>
      </c>
      <c r="U91">
        <v>102.42908131623032</v>
      </c>
      <c r="V91">
        <v>99.400347921858739</v>
      </c>
    </row>
    <row r="92" spans="1:22" x14ac:dyDescent="0.25">
      <c r="U92">
        <v>97.920091927683771</v>
      </c>
      <c r="V92">
        <v>99.006729060786157</v>
      </c>
    </row>
    <row r="93" spans="1:22" x14ac:dyDescent="0.25">
      <c r="U93">
        <v>99.231939246703917</v>
      </c>
      <c r="V93">
        <v>96.340075503391262</v>
      </c>
    </row>
    <row r="94" spans="1:22" x14ac:dyDescent="0.25">
      <c r="A94" s="7" t="s">
        <v>68</v>
      </c>
      <c r="B94" s="7"/>
      <c r="C94" s="7"/>
      <c r="D94" s="7"/>
      <c r="E94" s="7"/>
      <c r="U94">
        <v>98.676961393946542</v>
      </c>
      <c r="V94">
        <v>101.97655781454354</v>
      </c>
    </row>
    <row r="95" spans="1:22" x14ac:dyDescent="0.25">
      <c r="B95" s="2"/>
      <c r="D95" s="2"/>
      <c r="G95" s="8" t="s">
        <v>64</v>
      </c>
      <c r="U95">
        <v>96.124129945898915</v>
      </c>
      <c r="V95">
        <v>101.37632786213001</v>
      </c>
    </row>
    <row r="96" spans="1:22" x14ac:dyDescent="0.25">
      <c r="B96" s="2"/>
      <c r="D96" s="2" t="s">
        <v>56</v>
      </c>
      <c r="E96">
        <v>30</v>
      </c>
      <c r="U96">
        <v>89.078899811341998</v>
      </c>
      <c r="V96">
        <v>98.377374653134311</v>
      </c>
    </row>
    <row r="97" spans="1:22" x14ac:dyDescent="0.25">
      <c r="B97" s="2"/>
      <c r="D97" s="2" t="s">
        <v>61</v>
      </c>
      <c r="E97">
        <v>1.96</v>
      </c>
      <c r="U97">
        <v>97.496349254753227</v>
      </c>
      <c r="V97">
        <v>102.79531183895227</v>
      </c>
    </row>
    <row r="98" spans="1:22" x14ac:dyDescent="0.25">
      <c r="B98" s="2"/>
      <c r="D98" s="2" t="s">
        <v>62</v>
      </c>
      <c r="E98">
        <v>5</v>
      </c>
      <c r="U98">
        <v>100.15077234574191</v>
      </c>
      <c r="V98">
        <v>100.92812627590239</v>
      </c>
    </row>
    <row r="99" spans="1:22" x14ac:dyDescent="0.25">
      <c r="B99" s="2"/>
      <c r="D99" s="2" t="s">
        <v>65</v>
      </c>
      <c r="E99">
        <v>400</v>
      </c>
      <c r="U99">
        <v>92.281265212078907</v>
      </c>
      <c r="V99">
        <v>102.55842083099627</v>
      </c>
    </row>
    <row r="100" spans="1:22" x14ac:dyDescent="0.25">
      <c r="B100" s="2"/>
      <c r="D100" s="2"/>
      <c r="U100">
        <v>107.45780848559386</v>
      </c>
      <c r="V100">
        <v>99.05566532776885</v>
      </c>
    </row>
    <row r="101" spans="1:22" x14ac:dyDescent="0.25">
      <c r="B101" s="2"/>
      <c r="D101" s="2" t="s">
        <v>66</v>
      </c>
      <c r="E101">
        <f>(E97*E96/E98)^2</f>
        <v>138.29759999999999</v>
      </c>
      <c r="U101">
        <v>100.79285665072732</v>
      </c>
      <c r="V101">
        <v>102.53359330313214</v>
      </c>
    </row>
    <row r="102" spans="1:22" x14ac:dyDescent="0.25">
      <c r="B102" s="2"/>
      <c r="D102" s="2"/>
    </row>
    <row r="103" spans="1:22" x14ac:dyDescent="0.25">
      <c r="B103" s="2"/>
      <c r="D103" s="2" t="s">
        <v>67</v>
      </c>
      <c r="E103">
        <f>(E101*E99)/(E101+E99-1)</f>
        <v>102.95791382652742</v>
      </c>
    </row>
    <row r="106" spans="1:22" x14ac:dyDescent="0.25">
      <c r="A106" s="7" t="s">
        <v>80</v>
      </c>
      <c r="B106" s="7"/>
      <c r="C106" s="7"/>
      <c r="D106" s="7"/>
      <c r="E106" s="7"/>
    </row>
    <row r="107" spans="1:22" x14ac:dyDescent="0.25">
      <c r="A107" s="10"/>
      <c r="B107" s="10"/>
      <c r="C107" s="10"/>
      <c r="D107" s="10"/>
      <c r="E107" s="10"/>
      <c r="G107" t="s">
        <v>72</v>
      </c>
    </row>
    <row r="108" spans="1:22" x14ac:dyDescent="0.25">
      <c r="D108" s="2"/>
    </row>
    <row r="109" spans="1:22" x14ac:dyDescent="0.25">
      <c r="B109" t="s">
        <v>73</v>
      </c>
      <c r="D109" s="2" t="s">
        <v>40</v>
      </c>
      <c r="E109">
        <v>2</v>
      </c>
    </row>
    <row r="110" spans="1:22" x14ac:dyDescent="0.25">
      <c r="B110" t="s">
        <v>74</v>
      </c>
      <c r="D110" s="2" t="s">
        <v>42</v>
      </c>
      <c r="E110">
        <v>100</v>
      </c>
    </row>
    <row r="111" spans="1:22" x14ac:dyDescent="0.25">
      <c r="D111" s="2" t="s">
        <v>55</v>
      </c>
      <c r="E111">
        <v>1.8</v>
      </c>
    </row>
    <row r="112" spans="1:22" x14ac:dyDescent="0.25">
      <c r="D112" s="2" t="s">
        <v>56</v>
      </c>
      <c r="E112">
        <v>1.5</v>
      </c>
    </row>
    <row r="113" spans="1:7" x14ac:dyDescent="0.25">
      <c r="D113" s="2" t="s">
        <v>75</v>
      </c>
      <c r="E113">
        <v>0.05</v>
      </c>
    </row>
    <row r="114" spans="1:7" x14ac:dyDescent="0.25">
      <c r="D114" s="2" t="s">
        <v>76</v>
      </c>
      <c r="E114">
        <f>ABS(E111-E109)</f>
        <v>0.19999999999999996</v>
      </c>
    </row>
    <row r="115" spans="1:7" x14ac:dyDescent="0.25">
      <c r="D115" s="2" t="s">
        <v>77</v>
      </c>
    </row>
    <row r="116" spans="1:7" x14ac:dyDescent="0.25">
      <c r="D116" s="2"/>
    </row>
    <row r="117" spans="1:7" x14ac:dyDescent="0.25">
      <c r="D117" s="2" t="s">
        <v>78</v>
      </c>
      <c r="E117">
        <f>_xlfn.NORM.DIST(E111, E109, (E112/SQRT(E110)), TRUE)</f>
        <v>9.1211219725867904E-2</v>
      </c>
      <c r="F117" t="str">
        <f ca="1">_xlfn.FORMULATEXT(E117)</f>
        <v>=NORM.DIST(E111, E109, (E112/SQRT(E110)), TRUE)</v>
      </c>
    </row>
    <row r="118" spans="1:7" x14ac:dyDescent="0.25">
      <c r="D118" s="2"/>
    </row>
    <row r="119" spans="1:7" x14ac:dyDescent="0.25">
      <c r="D119" s="2"/>
    </row>
    <row r="120" spans="1:7" x14ac:dyDescent="0.25">
      <c r="D120" s="2" t="s">
        <v>79</v>
      </c>
      <c r="F120" s="8" t="str">
        <f>IF(E117&gt;E113, "Fail to reject", "Reject")</f>
        <v>Fail to reject</v>
      </c>
    </row>
    <row r="123" spans="1:7" x14ac:dyDescent="0.25">
      <c r="A123" s="7" t="s">
        <v>92</v>
      </c>
      <c r="B123" s="7"/>
      <c r="C123" s="7"/>
      <c r="D123" s="7"/>
      <c r="E123" s="7"/>
    </row>
    <row r="124" spans="1:7" x14ac:dyDescent="0.25">
      <c r="D124" s="2"/>
      <c r="G124" t="s">
        <v>81</v>
      </c>
    </row>
    <row r="125" spans="1:7" x14ac:dyDescent="0.25">
      <c r="B125" t="s">
        <v>82</v>
      </c>
      <c r="D125" s="2" t="s">
        <v>40</v>
      </c>
      <c r="E125">
        <v>18</v>
      </c>
    </row>
    <row r="126" spans="1:7" x14ac:dyDescent="0.25">
      <c r="B126" t="s">
        <v>83</v>
      </c>
      <c r="D126" s="2" t="s">
        <v>42</v>
      </c>
      <c r="E126">
        <v>20</v>
      </c>
    </row>
    <row r="127" spans="1:7" x14ac:dyDescent="0.25">
      <c r="D127" s="2" t="s">
        <v>84</v>
      </c>
      <c r="E127">
        <v>18.2</v>
      </c>
    </row>
    <row r="128" spans="1:7" x14ac:dyDescent="0.25">
      <c r="D128" s="2" t="s">
        <v>56</v>
      </c>
      <c r="E128">
        <v>0.6</v>
      </c>
    </row>
    <row r="129" spans="1:7" x14ac:dyDescent="0.25">
      <c r="D129" s="2" t="s">
        <v>75</v>
      </c>
      <c r="E129">
        <v>0.05</v>
      </c>
    </row>
    <row r="130" spans="1:7" x14ac:dyDescent="0.25">
      <c r="D130" s="2" t="s">
        <v>85</v>
      </c>
      <c r="E130">
        <f>E127-E125</f>
        <v>0.19999999999999929</v>
      </c>
    </row>
    <row r="131" spans="1:7" x14ac:dyDescent="0.25">
      <c r="D131" s="2"/>
    </row>
    <row r="132" spans="1:7" x14ac:dyDescent="0.25">
      <c r="D132" s="2" t="s">
        <v>86</v>
      </c>
      <c r="E132">
        <f>_xlfn.T.INV(E129, E126-1)</f>
        <v>-1.7291328115213698</v>
      </c>
      <c r="F132" t="str">
        <f ca="1">_xlfn.FORMULATEXT(E132)</f>
        <v>=T.INV(E129, E126-1)</v>
      </c>
    </row>
    <row r="133" spans="1:7" x14ac:dyDescent="0.25">
      <c r="D133" s="2" t="s">
        <v>87</v>
      </c>
      <c r="E133">
        <f>ABS(E132)*E128/SQRT(E126)</f>
        <v>0.23198751052122682</v>
      </c>
      <c r="F133" t="str">
        <f ca="1">_xlfn.FORMULATEXT(E133)</f>
        <v>=ABS(E132)*E128/SQRT(E126)</v>
      </c>
    </row>
    <row r="134" spans="1:7" x14ac:dyDescent="0.25">
      <c r="D134" s="2" t="s">
        <v>88</v>
      </c>
      <c r="E134">
        <f>E125+E133</f>
        <v>18.231987510521225</v>
      </c>
      <c r="F134" t="str">
        <f ca="1">_xlfn.FORMULATEXT(E134)</f>
        <v>=E125+E133</v>
      </c>
    </row>
    <row r="135" spans="1:7" x14ac:dyDescent="0.25">
      <c r="D135" s="2"/>
    </row>
    <row r="136" spans="1:7" x14ac:dyDescent="0.25">
      <c r="D136" s="2" t="s">
        <v>89</v>
      </c>
      <c r="E136">
        <f>E130/(E128/SQRT(E126))</f>
        <v>1.4907119849998547</v>
      </c>
      <c r="F136" t="str">
        <f ca="1">_xlfn.FORMULATEXT(E136)</f>
        <v>=E130/(E128/SQRT(E126))</v>
      </c>
    </row>
    <row r="137" spans="1:7" x14ac:dyDescent="0.25">
      <c r="D137" s="2" t="s">
        <v>90</v>
      </c>
      <c r="E137">
        <f>1-_xlfn.T.DIST(E136,E126-1,TRUE)</f>
        <v>7.6226290835844757E-2</v>
      </c>
      <c r="F137" t="str">
        <f ca="1">_xlfn.FORMULATEXT(E137)</f>
        <v>=1-T.DIST(E136,E126-1,TRUE)</v>
      </c>
    </row>
    <row r="138" spans="1:7" x14ac:dyDescent="0.25">
      <c r="D138" s="2"/>
    </row>
    <row r="139" spans="1:7" x14ac:dyDescent="0.25">
      <c r="D139" s="2" t="s">
        <v>91</v>
      </c>
      <c r="F139" s="8" t="str">
        <f>IF(E127&gt;E134, "Reject", "Fail to reject")</f>
        <v>Fail to reject</v>
      </c>
    </row>
    <row r="140" spans="1:7" x14ac:dyDescent="0.25">
      <c r="D140" s="2" t="s">
        <v>79</v>
      </c>
      <c r="F140" s="8" t="str">
        <f>IF(E137&gt;E129, "Fail to reject", "Reject")</f>
        <v>Fail to reject</v>
      </c>
    </row>
    <row r="143" spans="1:7" x14ac:dyDescent="0.25">
      <c r="A143" s="7" t="s">
        <v>103</v>
      </c>
      <c r="B143" s="7"/>
      <c r="C143" s="7"/>
      <c r="D143" s="7"/>
      <c r="E143" s="7"/>
    </row>
    <row r="144" spans="1:7" x14ac:dyDescent="0.25">
      <c r="D144" s="2"/>
      <c r="G144" t="s">
        <v>93</v>
      </c>
    </row>
    <row r="145" spans="2:6" x14ac:dyDescent="0.25">
      <c r="B145" t="s">
        <v>94</v>
      </c>
      <c r="D145" s="2" t="s">
        <v>42</v>
      </c>
      <c r="E145">
        <v>110</v>
      </c>
    </row>
    <row r="146" spans="2:6" x14ac:dyDescent="0.25">
      <c r="B146" t="s">
        <v>95</v>
      </c>
      <c r="D146" s="2" t="s">
        <v>56</v>
      </c>
      <c r="E146">
        <v>65</v>
      </c>
    </row>
    <row r="147" spans="2:6" x14ac:dyDescent="0.25">
      <c r="D147" s="2" t="s">
        <v>96</v>
      </c>
      <c r="E147">
        <v>0.5</v>
      </c>
    </row>
    <row r="148" spans="2:6" x14ac:dyDescent="0.25">
      <c r="D148" s="2" t="s">
        <v>75</v>
      </c>
      <c r="E148">
        <v>0.05</v>
      </c>
    </row>
    <row r="149" spans="2:6" x14ac:dyDescent="0.25">
      <c r="D149" s="2" t="s">
        <v>97</v>
      </c>
      <c r="E149">
        <f>SQRT(E147*(1-E147)/E145)</f>
        <v>4.7673129462279612E-2</v>
      </c>
    </row>
    <row r="150" spans="2:6" x14ac:dyDescent="0.25">
      <c r="D150" s="2"/>
    </row>
    <row r="151" spans="2:6" x14ac:dyDescent="0.25">
      <c r="D151" s="2" t="s">
        <v>98</v>
      </c>
      <c r="E151">
        <f>(E146/E145 - E147)/E149</f>
        <v>1.9069251784911854</v>
      </c>
    </row>
    <row r="152" spans="2:6" x14ac:dyDescent="0.25">
      <c r="D152" s="2"/>
    </row>
    <row r="153" spans="2:6" x14ac:dyDescent="0.25">
      <c r="D153" s="2" t="s">
        <v>99</v>
      </c>
      <c r="E153">
        <f>_xlfn.BINOM.DIST.RANGE(E145, E147, 0, E146)</f>
        <v>0.97761895292151324</v>
      </c>
      <c r="F153" t="str">
        <f ca="1">_xlfn.FORMULATEXT(E153)</f>
        <v>=BINOM.DIST.RANGE(E145, E147, 0, E146)</v>
      </c>
    </row>
    <row r="154" spans="2:6" x14ac:dyDescent="0.25">
      <c r="D154" s="2" t="s">
        <v>100</v>
      </c>
      <c r="E154">
        <f>_xlfn.BINOM.DIST.RANGE(E145, E147, E146, E145)</f>
        <v>3.4782598168115096E-2</v>
      </c>
      <c r="F154" t="str">
        <f ca="1">_xlfn.FORMULATEXT(E154)</f>
        <v>=BINOM.DIST.RANGE(E145, E147, E146, E145)</v>
      </c>
    </row>
    <row r="155" spans="2:6" x14ac:dyDescent="0.25">
      <c r="D155" s="2" t="s">
        <v>101</v>
      </c>
      <c r="E155">
        <f>2*MIN(E153, E154)</f>
        <v>6.9565196336230192E-2</v>
      </c>
      <c r="F155" t="str">
        <f ca="1">_xlfn.FORMULATEXT(E155)</f>
        <v>=2*MIN(E153, E154)</v>
      </c>
    </row>
    <row r="156" spans="2:6" x14ac:dyDescent="0.25">
      <c r="D156" s="2"/>
    </row>
    <row r="157" spans="2:6" x14ac:dyDescent="0.25">
      <c r="D157" s="2" t="s">
        <v>102</v>
      </c>
      <c r="F157" s="8" t="str">
        <f>IF(E155&lt;E148, "Reject", "Fail to Reject")</f>
        <v>Fail to Reject</v>
      </c>
    </row>
  </sheetData>
  <mergeCells count="9">
    <mergeCell ref="A123:E123"/>
    <mergeCell ref="A143:E143"/>
    <mergeCell ref="M1:Q1"/>
    <mergeCell ref="B55:F55"/>
    <mergeCell ref="B65:F65"/>
    <mergeCell ref="A74:E74"/>
    <mergeCell ref="A85:E85"/>
    <mergeCell ref="A94:E94"/>
    <mergeCell ref="A106:E1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Cameron LNG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Edelman</dc:creator>
  <cp:lastModifiedBy>David Edelman</cp:lastModifiedBy>
  <dcterms:created xsi:type="dcterms:W3CDTF">2017-11-27T21:17:41Z</dcterms:created>
  <dcterms:modified xsi:type="dcterms:W3CDTF">2017-11-27T22:34:24Z</dcterms:modified>
</cp:coreProperties>
</file>