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Edelman\Training\edX Training\Statistics in Excel (DAT222x)\"/>
    </mc:Choice>
  </mc:AlternateContent>
  <bookViews>
    <workbookView xWindow="0" yWindow="0" windowWidth="25200" windowHeight="11160" activeTab="6"/>
  </bookViews>
  <sheets>
    <sheet name="M3L2" sheetId="1" r:id="rId1"/>
    <sheet name="M3L3" sheetId="2" r:id="rId2"/>
    <sheet name="M3L4" sheetId="3" r:id="rId3"/>
    <sheet name="M3L5" sheetId="4" r:id="rId4"/>
    <sheet name="M3L6" sheetId="5" r:id="rId5"/>
    <sheet name="M3L7" sheetId="6" r:id="rId6"/>
    <sheet name="M3L8" sheetId="8" r:id="rId7"/>
    <sheet name="Quiz" sheetId="9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99" i="9" l="1"/>
  <c r="C91" i="9" l="1"/>
  <c r="C89" i="9"/>
  <c r="C88" i="9"/>
  <c r="C87" i="9"/>
  <c r="G85" i="9"/>
  <c r="G86" i="9"/>
  <c r="G87" i="9"/>
  <c r="G88" i="9"/>
  <c r="G89" i="9"/>
  <c r="G84" i="9"/>
  <c r="C85" i="9"/>
  <c r="C84" i="9"/>
  <c r="E85" i="9"/>
  <c r="E86" i="9"/>
  <c r="E87" i="9"/>
  <c r="E88" i="9"/>
  <c r="E89" i="9"/>
  <c r="E84" i="9"/>
  <c r="C79" i="9"/>
  <c r="C71" i="9"/>
  <c r="C60" i="9"/>
  <c r="C51" i="9"/>
  <c r="C41" i="9"/>
  <c r="C30" i="9"/>
  <c r="C15" i="9"/>
  <c r="C13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" i="9"/>
  <c r="C11" i="9"/>
  <c r="C5" i="9"/>
  <c r="D99" i="9"/>
  <c r="D60" i="9"/>
  <c r="D51" i="9"/>
  <c r="D71" i="9"/>
  <c r="D91" i="9"/>
  <c r="D79" i="9"/>
  <c r="D41" i="9"/>
  <c r="B103" i="8" l="1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H26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H14" i="8" s="1"/>
  <c r="B12" i="8"/>
  <c r="H11" i="8"/>
  <c r="B11" i="8"/>
  <c r="H10" i="8"/>
  <c r="C102" i="8" s="1"/>
  <c r="C48" i="6"/>
  <c r="C46" i="6"/>
  <c r="C45" i="6"/>
  <c r="C44" i="6"/>
  <c r="C43" i="6"/>
  <c r="C42" i="6"/>
  <c r="E30" i="6"/>
  <c r="E31" i="6" s="1"/>
  <c r="C31" i="6" s="1"/>
  <c r="C32" i="6" s="1"/>
  <c r="C15" i="6"/>
  <c r="C16" i="6" s="1"/>
  <c r="C17" i="6" s="1"/>
  <c r="C9" i="6"/>
  <c r="D9" i="6"/>
  <c r="D22" i="6"/>
  <c r="D48" i="6"/>
  <c r="D32" i="6"/>
  <c r="D64" i="8" l="1"/>
  <c r="D100" i="8"/>
  <c r="D26" i="8"/>
  <c r="D45" i="8"/>
  <c r="D61" i="8"/>
  <c r="D77" i="8"/>
  <c r="D93" i="8"/>
  <c r="D40" i="8"/>
  <c r="D76" i="8"/>
  <c r="D15" i="8"/>
  <c r="D44" i="8"/>
  <c r="D24" i="8"/>
  <c r="D39" i="8"/>
  <c r="D55" i="8"/>
  <c r="D71" i="8"/>
  <c r="D99" i="8"/>
  <c r="C20" i="8"/>
  <c r="C24" i="8"/>
  <c r="C29" i="8"/>
  <c r="C33" i="8"/>
  <c r="C37" i="8"/>
  <c r="C57" i="8"/>
  <c r="C73" i="8"/>
  <c r="C81" i="8"/>
  <c r="C93" i="8"/>
  <c r="C13" i="8"/>
  <c r="C14" i="8"/>
  <c r="C15" i="8"/>
  <c r="C19" i="8"/>
  <c r="C23" i="8"/>
  <c r="C28" i="8"/>
  <c r="C32" i="8"/>
  <c r="C36" i="8"/>
  <c r="C40" i="8"/>
  <c r="C44" i="8"/>
  <c r="C48" i="8"/>
  <c r="C52" i="8"/>
  <c r="C56" i="8"/>
  <c r="C60" i="8"/>
  <c r="C64" i="8"/>
  <c r="C68" i="8"/>
  <c r="C72" i="8"/>
  <c r="C76" i="8"/>
  <c r="C80" i="8"/>
  <c r="C84" i="8"/>
  <c r="C88" i="8"/>
  <c r="C92" i="8"/>
  <c r="C96" i="8"/>
  <c r="C100" i="8"/>
  <c r="C16" i="8"/>
  <c r="C41" i="8"/>
  <c r="C45" i="8"/>
  <c r="C49" i="8"/>
  <c r="C61" i="8"/>
  <c r="C65" i="8"/>
  <c r="C69" i="8"/>
  <c r="C77" i="8"/>
  <c r="C85" i="8"/>
  <c r="C89" i="8"/>
  <c r="C97" i="8"/>
  <c r="C101" i="8"/>
  <c r="C11" i="8"/>
  <c r="C12" i="8"/>
  <c r="C18" i="8"/>
  <c r="C22" i="8"/>
  <c r="C26" i="8"/>
  <c r="C27" i="8"/>
  <c r="C31" i="8"/>
  <c r="C35" i="8"/>
  <c r="C39" i="8"/>
  <c r="C43" i="8"/>
  <c r="C47" i="8"/>
  <c r="C51" i="8"/>
  <c r="C55" i="8"/>
  <c r="C59" i="8"/>
  <c r="C63" i="8"/>
  <c r="C67" i="8"/>
  <c r="C71" i="8"/>
  <c r="C75" i="8"/>
  <c r="C79" i="8"/>
  <c r="C83" i="8"/>
  <c r="C87" i="8"/>
  <c r="C91" i="8"/>
  <c r="C95" i="8"/>
  <c r="C99" i="8"/>
  <c r="C103" i="8"/>
  <c r="C53" i="8"/>
  <c r="H13" i="8"/>
  <c r="D56" i="8" s="1"/>
  <c r="C17" i="8"/>
  <c r="C21" i="8"/>
  <c r="C25" i="8"/>
  <c r="C30" i="8"/>
  <c r="C34" i="8"/>
  <c r="C38" i="8"/>
  <c r="C42" i="8"/>
  <c r="C46" i="8"/>
  <c r="C50" i="8"/>
  <c r="C54" i="8"/>
  <c r="C58" i="8"/>
  <c r="C62" i="8"/>
  <c r="C66" i="8"/>
  <c r="C70" i="8"/>
  <c r="C74" i="8"/>
  <c r="C78" i="8"/>
  <c r="C82" i="8"/>
  <c r="C86" i="8"/>
  <c r="C90" i="8"/>
  <c r="C94" i="8"/>
  <c r="C98" i="8"/>
  <c r="C18" i="6"/>
  <c r="C19" i="6" s="1"/>
  <c r="C20" i="6" s="1"/>
  <c r="C22" i="6" s="1"/>
  <c r="C23" i="6" s="1"/>
  <c r="C38" i="5"/>
  <c r="C36" i="5"/>
  <c r="C35" i="5"/>
  <c r="C24" i="5"/>
  <c r="C23" i="5"/>
  <c r="C22" i="5"/>
  <c r="C21" i="5"/>
  <c r="C10" i="5"/>
  <c r="C9" i="5"/>
  <c r="C23" i="4"/>
  <c r="C14" i="4"/>
  <c r="C16" i="4" s="1"/>
  <c r="C5" i="4"/>
  <c r="C7" i="4" s="1"/>
  <c r="C25" i="4"/>
  <c r="D13" i="4"/>
  <c r="D22" i="4"/>
  <c r="C13" i="4"/>
  <c r="C33" i="3"/>
  <c r="C32" i="3"/>
  <c r="C22" i="3"/>
  <c r="C21" i="3"/>
  <c r="C20" i="3"/>
  <c r="C10" i="3"/>
  <c r="C9" i="3"/>
  <c r="C8" i="3"/>
  <c r="D36" i="5"/>
  <c r="D21" i="3"/>
  <c r="D7" i="4"/>
  <c r="D20" i="3"/>
  <c r="D10" i="3"/>
  <c r="D8" i="3"/>
  <c r="D25" i="4"/>
  <c r="D32" i="3"/>
  <c r="D22" i="3"/>
  <c r="D37" i="5"/>
  <c r="D9" i="5"/>
  <c r="D16" i="4"/>
  <c r="D10" i="5"/>
  <c r="D9" i="3"/>
  <c r="D21" i="5"/>
  <c r="D23" i="5"/>
  <c r="D35" i="5"/>
  <c r="D33" i="3"/>
  <c r="D22" i="5"/>
  <c r="D24" i="5"/>
  <c r="D38" i="5"/>
  <c r="D95" i="8" l="1"/>
  <c r="D67" i="8"/>
  <c r="D51" i="8"/>
  <c r="D35" i="8"/>
  <c r="D20" i="8"/>
  <c r="D28" i="8"/>
  <c r="D29" i="8"/>
  <c r="D68" i="8"/>
  <c r="D32" i="8"/>
  <c r="D89" i="8"/>
  <c r="D73" i="8"/>
  <c r="D57" i="8"/>
  <c r="D41" i="8"/>
  <c r="D22" i="8"/>
  <c r="D92" i="8"/>
  <c r="D91" i="8"/>
  <c r="D87" i="8"/>
  <c r="D83" i="8"/>
  <c r="D12" i="8"/>
  <c r="D11" i="8"/>
  <c r="D98" i="8"/>
  <c r="D62" i="8"/>
  <c r="D46" i="8"/>
  <c r="D25" i="8"/>
  <c r="D94" i="8"/>
  <c r="D82" i="8"/>
  <c r="D74" i="8"/>
  <c r="D58" i="8"/>
  <c r="D38" i="8"/>
  <c r="D34" i="8"/>
  <c r="D30" i="8"/>
  <c r="D21" i="8"/>
  <c r="D102" i="8"/>
  <c r="D90" i="8"/>
  <c r="D86" i="8"/>
  <c r="D78" i="8"/>
  <c r="D70" i="8"/>
  <c r="D66" i="8"/>
  <c r="D54" i="8"/>
  <c r="D50" i="8"/>
  <c r="D42" i="8"/>
  <c r="D17" i="8"/>
  <c r="D79" i="8"/>
  <c r="D63" i="8"/>
  <c r="D47" i="8"/>
  <c r="D31" i="8"/>
  <c r="D16" i="8"/>
  <c r="D23" i="8"/>
  <c r="D96" i="8"/>
  <c r="D60" i="8"/>
  <c r="D101" i="8"/>
  <c r="D85" i="8"/>
  <c r="D69" i="8"/>
  <c r="D53" i="8"/>
  <c r="D37" i="8"/>
  <c r="D18" i="8"/>
  <c r="D80" i="8"/>
  <c r="D48" i="8"/>
  <c r="D13" i="8"/>
  <c r="D103" i="8"/>
  <c r="D75" i="8"/>
  <c r="D59" i="8"/>
  <c r="D43" i="8"/>
  <c r="D27" i="8"/>
  <c r="D88" i="8"/>
  <c r="D19" i="8"/>
  <c r="D84" i="8"/>
  <c r="D52" i="8"/>
  <c r="D97" i="8"/>
  <c r="D81" i="8"/>
  <c r="D65" i="8"/>
  <c r="D49" i="8"/>
  <c r="D33" i="8"/>
  <c r="D14" i="8"/>
  <c r="D72" i="8"/>
  <c r="D36" i="8"/>
  <c r="C37" i="5"/>
  <c r="C20" i="2"/>
  <c r="C22" i="2" s="1"/>
  <c r="D4" i="2"/>
  <c r="D5" i="2"/>
  <c r="D6" i="2"/>
  <c r="D7" i="2"/>
  <c r="D8" i="2"/>
  <c r="D9" i="2"/>
  <c r="D10" i="2"/>
  <c r="D11" i="2"/>
  <c r="D12" i="2"/>
  <c r="D13" i="2"/>
  <c r="D3" i="2"/>
  <c r="C25" i="2"/>
  <c r="C24" i="2"/>
  <c r="C17" i="2"/>
  <c r="C13" i="2"/>
  <c r="C12" i="2"/>
  <c r="C11" i="2"/>
  <c r="C10" i="2"/>
  <c r="C9" i="2"/>
  <c r="C7" i="2"/>
  <c r="C8" i="2"/>
  <c r="C6" i="2"/>
  <c r="C5" i="2"/>
  <c r="C4" i="2"/>
  <c r="C3" i="2"/>
  <c r="C26" i="2" l="1"/>
  <c r="C18" i="2"/>
  <c r="C41" i="1"/>
  <c r="C42" i="1"/>
  <c r="C43" i="1" s="1"/>
  <c r="D34" i="1"/>
  <c r="C37" i="1"/>
  <c r="C39" i="1" s="1"/>
  <c r="D33" i="1"/>
  <c r="C36" i="1"/>
  <c r="C34" i="1"/>
  <c r="C33" i="1"/>
  <c r="C27" i="1"/>
  <c r="C28" i="1" s="1"/>
  <c r="C26" i="1"/>
  <c r="C24" i="1"/>
  <c r="C22" i="1"/>
  <c r="D19" i="1"/>
  <c r="D18" i="1"/>
  <c r="C21" i="1"/>
  <c r="C4" i="1"/>
  <c r="C3" i="1"/>
  <c r="C11" i="1" s="1"/>
  <c r="C6" i="1" l="1"/>
  <c r="C12" i="1" s="1"/>
  <c r="C13" i="1" s="1"/>
  <c r="D3" i="1" l="1"/>
  <c r="D4" i="1"/>
  <c r="C7" i="1" s="1"/>
  <c r="C9" i="1" s="1"/>
</calcChain>
</file>

<file path=xl/sharedStrings.xml><?xml version="1.0" encoding="utf-8"?>
<sst xmlns="http://schemas.openxmlformats.org/spreadsheetml/2006/main" count="303" uniqueCount="189">
  <si>
    <t xml:space="preserve">S{} = </t>
  </si>
  <si>
    <t xml:space="preserve">Mean = E(r) = </t>
  </si>
  <si>
    <t xml:space="preserve">Var = </t>
  </si>
  <si>
    <t>Std = sqrt(Var)</t>
  </si>
  <si>
    <t>S{}^2 =</t>
  </si>
  <si>
    <t xml:space="preserve">E(r^2) = </t>
  </si>
  <si>
    <t>Var</t>
  </si>
  <si>
    <t>StdDev</t>
  </si>
  <si>
    <t>{-1, 35}</t>
  </si>
  <si>
    <t>{-1^2, 35^2)</t>
  </si>
  <si>
    <t xml:space="preserve">P(-1) = </t>
  </si>
  <si>
    <t>P(35) =</t>
  </si>
  <si>
    <t>Sum Var ^2</t>
  </si>
  <si>
    <t xml:space="preserve">S{}^2 = </t>
  </si>
  <si>
    <t>Mean = E(p) =</t>
  </si>
  <si>
    <t>P(20) =</t>
  </si>
  <si>
    <t>{40, -20}</t>
  </si>
  <si>
    <t>{1600, 400}</t>
  </si>
  <si>
    <t>P(40) =</t>
  </si>
  <si>
    <t>E(r^2) =</t>
  </si>
  <si>
    <t>Sum of Var squared method</t>
  </si>
  <si>
    <t>E(x^2)-E(x)^2 method</t>
  </si>
  <si>
    <t>HW1</t>
  </si>
  <si>
    <t>HW2</t>
  </si>
  <si>
    <t>HW3</t>
  </si>
  <si>
    <t>S{} =</t>
  </si>
  <si>
    <t>{1, -1}</t>
  </si>
  <si>
    <t>{1, 1}</t>
  </si>
  <si>
    <t>P(odd) = P(1) =</t>
  </si>
  <si>
    <t>P(not odd) = P(-1) =</t>
  </si>
  <si>
    <t xml:space="preserve">P(x) = </t>
  </si>
  <si>
    <t>E(50x) = E(x) * 50</t>
  </si>
  <si>
    <t>E(x) =</t>
  </si>
  <si>
    <t>E(50x) =</t>
  </si>
  <si>
    <t>{4,9,16,25,36,49,64,81,100,121,144}</t>
  </si>
  <si>
    <t>{2,3,4,5,6,7,8,9,10,11,12}</t>
  </si>
  <si>
    <t>VarMean^2</t>
  </si>
  <si>
    <t>Val</t>
  </si>
  <si>
    <t>P()</t>
  </si>
  <si>
    <t>P(D)=</t>
  </si>
  <si>
    <t>N=</t>
  </si>
  <si>
    <t>P(BRV=0) =</t>
  </si>
  <si>
    <t xml:space="preserve">P(BRV&lt;=1) = </t>
  </si>
  <si>
    <t>LB=</t>
  </si>
  <si>
    <t>UB=</t>
  </si>
  <si>
    <t>A</t>
  </si>
  <si>
    <t>B</t>
  </si>
  <si>
    <t>C</t>
  </si>
  <si>
    <t>P(BRV&gt;=10) =</t>
  </si>
  <si>
    <t>P(A)=</t>
  </si>
  <si>
    <t>P(BRV&gt;= 101; n=101) =</t>
  </si>
  <si>
    <t>P(BSP)=</t>
  </si>
  <si>
    <t>B --&gt; One MF has 5.47% chance to beat S&amp;P 8-10 years; BSP now event that 10 funds beat S&amp;P 8-10 years</t>
  </si>
  <si>
    <t>P(8&lt;= BRV&lt;=10; n=10 yrs)</t>
  </si>
  <si>
    <t>P(10&lt;=BRV&lt;=100; n=100 funds)</t>
  </si>
  <si>
    <t>=P(BSP 8-10 yrs)</t>
  </si>
  <si>
    <t>P(2 goals) =</t>
  </si>
  <si>
    <t>test value</t>
  </si>
  <si>
    <t>S = {2, 3, …}</t>
  </si>
  <si>
    <t>P(S) = 1-P({0,1})</t>
  </si>
  <si>
    <t>S = {1, 2, 3, 4, 5}</t>
  </si>
  <si>
    <t>mean(1)</t>
  </si>
  <si>
    <t>P(5+ misprints) =</t>
  </si>
  <si>
    <t>P(2+ goals) =</t>
  </si>
  <si>
    <t>mean(1 hr) =</t>
  </si>
  <si>
    <t>=mean(3 hrs)</t>
  </si>
  <si>
    <t>mean(1 page) =</t>
  </si>
  <si>
    <t>=mean(200 pages)</t>
  </si>
  <si>
    <t>Range</t>
  </si>
  <si>
    <t>range</t>
  </si>
  <si>
    <t>Test Value =</t>
  </si>
  <si>
    <t>Mean =</t>
  </si>
  <si>
    <t>Std Dev =</t>
  </si>
  <si>
    <t>GT/LT =</t>
  </si>
  <si>
    <t>GT</t>
  </si>
  <si>
    <t>LT</t>
  </si>
  <si>
    <t>Prob (&gt;= 12) =</t>
  </si>
  <si>
    <t>Prob (&lt; 12.1) =</t>
  </si>
  <si>
    <t>Prob (&lt;35000) =</t>
  </si>
  <si>
    <t>Prob (&lt; 49000) =</t>
  </si>
  <si>
    <t>Prob(35000 &lt;x&lt; 49000) =</t>
  </si>
  <si>
    <t>Prob (x &lt; 95%) =</t>
  </si>
  <si>
    <t>Prob (&lt;400) =</t>
  </si>
  <si>
    <t>Prob (&lt; 1100) =</t>
  </si>
  <si>
    <t>Prob(400 &lt;x&lt; 1100) =</t>
  </si>
  <si>
    <t>Prob (x &lt; 1%) =</t>
  </si>
  <si>
    <t>HW 1</t>
  </si>
  <si>
    <t>P(BRV&lt; 0) =</t>
  </si>
  <si>
    <t>P(L) = P(-1) =</t>
  </si>
  <si>
    <t xml:space="preserve">P(W) = P(1) = </t>
  </si>
  <si>
    <t>E(10000x) =</t>
  </si>
  <si>
    <t>Var(x) = E(x^2) - E(x)^2 =</t>
  </si>
  <si>
    <t>x^2</t>
  </si>
  <si>
    <t>StdDev =</t>
  </si>
  <si>
    <t>Var(10000x) =</t>
  </si>
  <si>
    <t xml:space="preserve">P(Behind) = P(-0.5 --&gt; .5) = </t>
  </si>
  <si>
    <t>HW 2</t>
  </si>
  <si>
    <t>Mean(DJ) =</t>
  </si>
  <si>
    <t xml:space="preserve">Var(DJ) = </t>
  </si>
  <si>
    <t>StdDev(1 DJ) =</t>
  </si>
  <si>
    <t>Var(252 DJ) =</t>
  </si>
  <si>
    <t>StdDev(252 DJ) =</t>
  </si>
  <si>
    <t>P(&gt;=20%) = 1 - P(&lt; 20%) =</t>
  </si>
  <si>
    <t>P(Not Behind) = 1 - P(Behind) =</t>
  </si>
  <si>
    <t>HW 3</t>
  </si>
  <si>
    <t>Discrete RV</t>
  </si>
  <si>
    <t>Normal RV</t>
  </si>
  <si>
    <t>P(1) =</t>
  </si>
  <si>
    <t>P(0) =</t>
  </si>
  <si>
    <t>P(2) =</t>
  </si>
  <si>
    <t>P(3) =</t>
  </si>
  <si>
    <t>E(C) =</t>
  </si>
  <si>
    <t>E(500 C) =</t>
  </si>
  <si>
    <t>Var(C) = E(C^2) - E(C)^2 =</t>
  </si>
  <si>
    <t>Var(500 C) =</t>
  </si>
  <si>
    <t>StdDev(500 C) =</t>
  </si>
  <si>
    <t>P(&gt;= 280) = 1 - P(&lt; 280) = 1 - P(279.5 --&gt; 208.5)</t>
  </si>
  <si>
    <t>Homework 3_8</t>
  </si>
  <si>
    <t>Problem 1</t>
  </si>
  <si>
    <t>Given the following scores on an exam</t>
  </si>
  <si>
    <t>Problem 2</t>
  </si>
  <si>
    <t>compute Z scores and highlight</t>
  </si>
  <si>
    <t>Suppose we made a</t>
  </si>
  <si>
    <t>outliers.</t>
  </si>
  <si>
    <t>grading error on</t>
  </si>
  <si>
    <t>Verify the mean of the Z scores=0</t>
  </si>
  <si>
    <t>the data in Problem 1</t>
  </si>
  <si>
    <t>and Standard deviation of Z Scores =1</t>
  </si>
  <si>
    <t>and gave everybody credit</t>
  </si>
  <si>
    <t>for a 5 point question</t>
  </si>
  <si>
    <t>Scores</t>
  </si>
  <si>
    <t>Score+5</t>
  </si>
  <si>
    <t>Z-score</t>
  </si>
  <si>
    <t>Z+5 score</t>
  </si>
  <si>
    <t>that everybody actually had wrong.</t>
  </si>
  <si>
    <t>After adjusting the scores,</t>
  </si>
  <si>
    <t>would the Z- Scores change?</t>
  </si>
  <si>
    <t>Mean +5 =</t>
  </si>
  <si>
    <t>StdDev Z =</t>
  </si>
  <si>
    <t>Problem 3</t>
  </si>
  <si>
    <t>When teachers grade on a curve they</t>
  </si>
  <si>
    <t>often use Z scores to determine</t>
  </si>
  <si>
    <t>grade cutoffs. Suppose in class</t>
  </si>
  <si>
    <t xml:space="preserve">1 the mean score = 70 and standard </t>
  </si>
  <si>
    <t>Z*Stddev + mean = Val</t>
  </si>
  <si>
    <t xml:space="preserve">deviation =10. Assume a z score of &gt;=1.5 </t>
  </si>
  <si>
    <t>receives an A. In another class (class 2)</t>
  </si>
  <si>
    <t>mean = 75 and standard deviation = 8</t>
  </si>
  <si>
    <t>What should be cutoff for A in the 2nd class?</t>
  </si>
  <si>
    <t>Z =</t>
  </si>
  <si>
    <t>Val =</t>
  </si>
  <si>
    <t>Z = (Val - mean) / stddev</t>
  </si>
  <si>
    <t>Adapt 162</t>
  </si>
  <si>
    <t>{1,2,…19,20}</t>
  </si>
  <si>
    <t>E(S) =</t>
  </si>
  <si>
    <t>P(S(i)) =</t>
  </si>
  <si>
    <t>Adapt 168</t>
  </si>
  <si>
    <t>X</t>
  </si>
  <si>
    <t>X^2</t>
  </si>
  <si>
    <t>(delta Var)^2</t>
  </si>
  <si>
    <t>Sum delta var sq</t>
  </si>
  <si>
    <t>Var =</t>
  </si>
  <si>
    <t>E(x) method</t>
  </si>
  <si>
    <t>Profit Contribution</t>
  </si>
  <si>
    <t>Adapt 177</t>
  </si>
  <si>
    <t>Probability</t>
  </si>
  <si>
    <t>E(PC) =</t>
  </si>
  <si>
    <t>Adapt 180</t>
  </si>
  <si>
    <t>P(H)=</t>
  </si>
  <si>
    <t>P(BRV&gt;60) =</t>
  </si>
  <si>
    <t>Adapt 186</t>
  </si>
  <si>
    <t>Adapt 195</t>
  </si>
  <si>
    <t>S = {0, 1, 2, 3, …}</t>
  </si>
  <si>
    <t>P(exactly 4) =</t>
  </si>
  <si>
    <t>Adapt 207</t>
  </si>
  <si>
    <t>Prob (&gt; 1.05) =</t>
  </si>
  <si>
    <t>Adapt 220</t>
  </si>
  <si>
    <t>Z(95) = (95-Mean)/StdDev =</t>
  </si>
  <si>
    <t>Adapt 230</t>
  </si>
  <si>
    <t>E(400x) =</t>
  </si>
  <si>
    <t>Var(x) =</t>
  </si>
  <si>
    <t>delta var^2</t>
  </si>
  <si>
    <t>Var(400x) =</t>
  </si>
  <si>
    <t>StDev(400x) =</t>
  </si>
  <si>
    <t>Adapt 233</t>
  </si>
  <si>
    <t>Mean(S) =</t>
  </si>
  <si>
    <t>StdDev(S) =</t>
  </si>
  <si>
    <t>P(&gt;= 1450) = 1 - P(&lt; 1450) = 1= P(1449.5 --&gt; 1450.5)</t>
  </si>
  <si>
    <t>P(&gt; $10) = 1 - P(&lt;= $10.00)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</si>
</sst>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164" formatCode="0.0000"/>
    <numFmt numFmtId="165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vertical="center"/>
    </xf>
    <xf numFmtId="2" fontId="0" fillId="0" borderId="0" xfId="0" applyNumberFormat="1"/>
    <xf numFmtId="2" fontId="0" fillId="0" borderId="0" xfId="0" quotePrefix="1" applyNumberFormat="1"/>
    <xf numFmtId="164" fontId="0" fillId="0" borderId="0" xfId="0" applyNumberFormat="1"/>
    <xf numFmtId="164" fontId="0" fillId="0" borderId="0" xfId="0" quotePrefix="1" applyNumberFormat="1"/>
    <xf numFmtId="9" fontId="0" fillId="0" borderId="0" xfId="1" applyFont="1"/>
    <xf numFmtId="10" fontId="0" fillId="0" borderId="0" xfId="1" applyNumberFormat="1" applyFont="1"/>
    <xf numFmtId="9" fontId="0" fillId="0" borderId="0" xfId="1" applyNumberFormat="1" applyFont="1"/>
    <xf numFmtId="0" fontId="0" fillId="0" borderId="0" xfId="0" quotePrefix="1"/>
    <xf numFmtId="9" fontId="0" fillId="0" borderId="0" xfId="0" applyNumberFormat="1"/>
    <xf numFmtId="165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1" applyNumberFormat="1" applyFont="1"/>
    <xf numFmtId="6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2">
    <cellStyle name="Normal" xfId="0" builtinId="0"/>
    <cellStyle name="Percent" xfId="1" builtinId="5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activeCell="C3" sqref="C3"/>
    </sheetView>
  </sheetViews>
  <sheetFormatPr defaultRowHeight="15" x14ac:dyDescent="0.25"/>
  <cols>
    <col min="2" max="2" width="18.28515625" style="1" bestFit="1" customWidth="1"/>
    <col min="3" max="3" width="9.5703125" style="5" bestFit="1" customWidth="1"/>
  </cols>
  <sheetData>
    <row r="1" spans="1:7" x14ac:dyDescent="0.25">
      <c r="A1" s="18" t="s">
        <v>22</v>
      </c>
      <c r="B1" s="18"/>
      <c r="C1" s="18"/>
      <c r="D1" s="18"/>
      <c r="E1" s="18"/>
    </row>
    <row r="2" spans="1:7" x14ac:dyDescent="0.25">
      <c r="D2" t="s">
        <v>12</v>
      </c>
    </row>
    <row r="3" spans="1:7" x14ac:dyDescent="0.25">
      <c r="B3" s="1" t="s">
        <v>10</v>
      </c>
      <c r="C3" s="5">
        <f>37/38</f>
        <v>0.97368421052631582</v>
      </c>
      <c r="D3">
        <f>(-1-C6)^2</f>
        <v>0.8975069252077561</v>
      </c>
      <c r="F3" t="s">
        <v>0</v>
      </c>
      <c r="G3" t="s">
        <v>8</v>
      </c>
    </row>
    <row r="4" spans="1:7" x14ac:dyDescent="0.25">
      <c r="B4" s="1" t="s">
        <v>11</v>
      </c>
      <c r="C4" s="5">
        <f>1/38</f>
        <v>2.6315789473684209E-2</v>
      </c>
      <c r="D4">
        <f>(35-C6)^2</f>
        <v>1228.6869806094185</v>
      </c>
      <c r="F4" t="s">
        <v>4</v>
      </c>
      <c r="G4" t="s">
        <v>9</v>
      </c>
    </row>
    <row r="6" spans="1:7" x14ac:dyDescent="0.25">
      <c r="B6" s="1" t="s">
        <v>1</v>
      </c>
      <c r="C6" s="5">
        <f>(-1*C3) + 35*C4</f>
        <v>-5.2631578947368474E-2</v>
      </c>
    </row>
    <row r="7" spans="1:7" x14ac:dyDescent="0.25">
      <c r="B7" s="1" t="s">
        <v>2</v>
      </c>
      <c r="C7" s="6">
        <f>SUMPRODUCT(C3:C4, D3:D4)</f>
        <v>33.207756232686982</v>
      </c>
      <c r="E7" t="s">
        <v>20</v>
      </c>
    </row>
    <row r="9" spans="1:7" x14ac:dyDescent="0.25">
      <c r="B9" s="1" t="s">
        <v>3</v>
      </c>
      <c r="C9" s="5">
        <f>SQRT(C7)</f>
        <v>5.7626171339667343</v>
      </c>
    </row>
    <row r="11" spans="1:7" x14ac:dyDescent="0.25">
      <c r="B11" s="1" t="s">
        <v>5</v>
      </c>
      <c r="C11" s="5">
        <f>(-1^2)*C3 + (35^2*C4)</f>
        <v>33.210526315789473</v>
      </c>
      <c r="E11" t="s">
        <v>21</v>
      </c>
    </row>
    <row r="12" spans="1:7" x14ac:dyDescent="0.25">
      <c r="B12" s="1" t="s">
        <v>6</v>
      </c>
      <c r="C12" s="5">
        <f>C11-C6^2</f>
        <v>33.207756232686982</v>
      </c>
    </row>
    <row r="13" spans="1:7" x14ac:dyDescent="0.25">
      <c r="B13" s="1" t="s">
        <v>7</v>
      </c>
      <c r="C13" s="5">
        <f>SQRT(C12)</f>
        <v>5.7626171339667343</v>
      </c>
    </row>
    <row r="16" spans="1:7" x14ac:dyDescent="0.25">
      <c r="A16" s="18" t="s">
        <v>23</v>
      </c>
      <c r="B16" s="18"/>
      <c r="C16" s="18"/>
      <c r="D16" s="18"/>
      <c r="E16" s="18"/>
    </row>
    <row r="17" spans="1:7" x14ac:dyDescent="0.25">
      <c r="D17" t="s">
        <v>12</v>
      </c>
    </row>
    <row r="18" spans="1:7" x14ac:dyDescent="0.25">
      <c r="B18" s="1" t="s">
        <v>18</v>
      </c>
      <c r="C18" s="5">
        <v>0.6</v>
      </c>
      <c r="D18">
        <f>(40-C21)^2</f>
        <v>576</v>
      </c>
      <c r="F18" t="s">
        <v>0</v>
      </c>
      <c r="G18" t="s">
        <v>16</v>
      </c>
    </row>
    <row r="19" spans="1:7" x14ac:dyDescent="0.25">
      <c r="B19" s="1" t="s">
        <v>15</v>
      </c>
      <c r="C19" s="5">
        <v>0.4</v>
      </c>
      <c r="D19">
        <f>(-20-C21)^2</f>
        <v>1296</v>
      </c>
      <c r="F19" t="s">
        <v>13</v>
      </c>
      <c r="G19" t="s">
        <v>17</v>
      </c>
    </row>
    <row r="21" spans="1:7" x14ac:dyDescent="0.25">
      <c r="B21" s="1" t="s">
        <v>14</v>
      </c>
      <c r="C21" s="5">
        <f>(40*C18) + (-20)*C19</f>
        <v>16</v>
      </c>
    </row>
    <row r="22" spans="1:7" x14ac:dyDescent="0.25">
      <c r="B22" s="1" t="s">
        <v>2</v>
      </c>
      <c r="C22" s="6">
        <f>SUMPRODUCT(C18:C19, D18:D19)</f>
        <v>864</v>
      </c>
      <c r="E22" t="s">
        <v>20</v>
      </c>
    </row>
    <row r="24" spans="1:7" x14ac:dyDescent="0.25">
      <c r="B24" s="1" t="s">
        <v>3</v>
      </c>
      <c r="C24" s="5">
        <f>SQRT(C22)</f>
        <v>29.393876913398138</v>
      </c>
    </row>
    <row r="26" spans="1:7" x14ac:dyDescent="0.25">
      <c r="B26" s="1" t="s">
        <v>19</v>
      </c>
      <c r="C26" s="5">
        <f>(40^2)*C18 + (-20^2*C19)</f>
        <v>1120</v>
      </c>
      <c r="E26" t="s">
        <v>21</v>
      </c>
    </row>
    <row r="27" spans="1:7" x14ac:dyDescent="0.25">
      <c r="B27" s="1" t="s">
        <v>6</v>
      </c>
      <c r="C27" s="5">
        <f>C26-C21^2</f>
        <v>864</v>
      </c>
    </row>
    <row r="28" spans="1:7" x14ac:dyDescent="0.25">
      <c r="B28" s="1" t="s">
        <v>7</v>
      </c>
      <c r="C28" s="5">
        <f>SQRT(C27)</f>
        <v>29.393876913398138</v>
      </c>
    </row>
    <row r="31" spans="1:7" x14ac:dyDescent="0.25">
      <c r="A31" s="18" t="s">
        <v>24</v>
      </c>
      <c r="B31" s="18"/>
      <c r="C31" s="18"/>
      <c r="D31" s="18"/>
      <c r="E31" s="18"/>
    </row>
    <row r="32" spans="1:7" x14ac:dyDescent="0.25">
      <c r="D32" t="s">
        <v>12</v>
      </c>
    </row>
    <row r="33" spans="2:7" x14ac:dyDescent="0.25">
      <c r="B33" s="1" t="s">
        <v>28</v>
      </c>
      <c r="C33" s="5">
        <f>18/38</f>
        <v>0.47368421052631576</v>
      </c>
      <c r="D33">
        <f>(1-C36)^2</f>
        <v>1.1080332409972298</v>
      </c>
      <c r="F33" t="s">
        <v>25</v>
      </c>
      <c r="G33" t="s">
        <v>26</v>
      </c>
    </row>
    <row r="34" spans="2:7" x14ac:dyDescent="0.25">
      <c r="B34" s="1" t="s">
        <v>29</v>
      </c>
      <c r="C34" s="5">
        <f>20/38</f>
        <v>0.52631578947368418</v>
      </c>
      <c r="D34">
        <f>(-1-C36)^2</f>
        <v>0.89750692520775632</v>
      </c>
      <c r="F34" t="s">
        <v>4</v>
      </c>
      <c r="G34" t="s">
        <v>27</v>
      </c>
    </row>
    <row r="36" spans="2:7" x14ac:dyDescent="0.25">
      <c r="B36" s="1" t="s">
        <v>1</v>
      </c>
      <c r="C36" s="5">
        <f>(1*C33) + -1*C34</f>
        <v>-5.2631578947368418E-2</v>
      </c>
    </row>
    <row r="37" spans="2:7" x14ac:dyDescent="0.25">
      <c r="B37" s="1" t="s">
        <v>2</v>
      </c>
      <c r="C37" s="6">
        <f>SUMPRODUCT(C33:C34, D33:D34)</f>
        <v>0.99722991689750684</v>
      </c>
      <c r="E37" t="s">
        <v>20</v>
      </c>
    </row>
    <row r="39" spans="2:7" x14ac:dyDescent="0.25">
      <c r="B39" s="1" t="s">
        <v>3</v>
      </c>
      <c r="C39" s="5">
        <f>SQRT(C37)</f>
        <v>0.99861399794790917</v>
      </c>
    </row>
    <row r="41" spans="2:7" x14ac:dyDescent="0.25">
      <c r="B41" s="1" t="s">
        <v>19</v>
      </c>
      <c r="C41" s="5">
        <f>(1^2)*C33 + (-1^2*C34)</f>
        <v>1</v>
      </c>
      <c r="E41" t="s">
        <v>21</v>
      </c>
    </row>
    <row r="42" spans="2:7" x14ac:dyDescent="0.25">
      <c r="B42" s="1" t="s">
        <v>6</v>
      </c>
      <c r="C42" s="5">
        <f>C41-C36^2</f>
        <v>0.99722991689750695</v>
      </c>
    </row>
    <row r="43" spans="2:7" x14ac:dyDescent="0.25">
      <c r="B43" s="1" t="s">
        <v>7</v>
      </c>
      <c r="C43" s="5">
        <f>SQRT(C42)</f>
        <v>0.99861399794790928</v>
      </c>
    </row>
  </sheetData>
  <mergeCells count="3">
    <mergeCell ref="A1:E1"/>
    <mergeCell ref="A16:E16"/>
    <mergeCell ref="A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D8" sqref="D8"/>
    </sheetView>
  </sheetViews>
  <sheetFormatPr defaultRowHeight="15" x14ac:dyDescent="0.25"/>
  <cols>
    <col min="3" max="3" width="10.140625" style="3" customWidth="1"/>
    <col min="4" max="4" width="11" bestFit="1" customWidth="1"/>
  </cols>
  <sheetData>
    <row r="1" spans="1:7" x14ac:dyDescent="0.25">
      <c r="A1" s="18" t="s">
        <v>22</v>
      </c>
      <c r="B1" s="18"/>
      <c r="C1" s="18"/>
      <c r="D1" s="18"/>
      <c r="E1" s="18"/>
    </row>
    <row r="2" spans="1:7" x14ac:dyDescent="0.25">
      <c r="B2" t="s">
        <v>37</v>
      </c>
      <c r="C2" s="3" t="s">
        <v>38</v>
      </c>
      <c r="D2" t="s">
        <v>36</v>
      </c>
      <c r="F2" t="s">
        <v>0</v>
      </c>
      <c r="G2" t="s">
        <v>35</v>
      </c>
    </row>
    <row r="3" spans="1:7" x14ac:dyDescent="0.25">
      <c r="A3" s="19" t="s">
        <v>30</v>
      </c>
      <c r="B3">
        <v>2</v>
      </c>
      <c r="C3" s="3">
        <f>1/36</f>
        <v>2.7777777777777776E-2</v>
      </c>
      <c r="D3">
        <f>(B3-C$17)^2</f>
        <v>24.999999999999993</v>
      </c>
      <c r="E3">
        <v>4</v>
      </c>
      <c r="F3" t="s">
        <v>13</v>
      </c>
      <c r="G3" t="s">
        <v>34</v>
      </c>
    </row>
    <row r="4" spans="1:7" x14ac:dyDescent="0.25">
      <c r="A4" s="19"/>
      <c r="B4">
        <v>3</v>
      </c>
      <c r="C4" s="3">
        <f>2/36</f>
        <v>5.5555555555555552E-2</v>
      </c>
      <c r="D4">
        <f t="shared" ref="D4:D13" si="0">(B4-C$17)^2</f>
        <v>15.999999999999993</v>
      </c>
      <c r="E4">
        <v>9</v>
      </c>
    </row>
    <row r="5" spans="1:7" x14ac:dyDescent="0.25">
      <c r="A5" s="19"/>
      <c r="B5">
        <v>4</v>
      </c>
      <c r="C5" s="3">
        <f>3/36</f>
        <v>8.3333333333333329E-2</v>
      </c>
      <c r="D5">
        <f t="shared" si="0"/>
        <v>8.9999999999999947</v>
      </c>
      <c r="E5">
        <v>16</v>
      </c>
    </row>
    <row r="6" spans="1:7" x14ac:dyDescent="0.25">
      <c r="A6" s="19"/>
      <c r="B6">
        <v>5</v>
      </c>
      <c r="C6" s="3">
        <f>4/36</f>
        <v>0.1111111111111111</v>
      </c>
      <c r="D6">
        <f t="shared" si="0"/>
        <v>3.9999999999999964</v>
      </c>
      <c r="E6">
        <v>25</v>
      </c>
    </row>
    <row r="7" spans="1:7" x14ac:dyDescent="0.25">
      <c r="A7" s="19"/>
      <c r="B7">
        <v>6</v>
      </c>
      <c r="C7" s="3">
        <f>5/36</f>
        <v>0.1388888888888889</v>
      </c>
      <c r="D7">
        <f t="shared" si="0"/>
        <v>0.99999999999999822</v>
      </c>
      <c r="E7">
        <v>36</v>
      </c>
    </row>
    <row r="8" spans="1:7" x14ac:dyDescent="0.25">
      <c r="A8" s="19"/>
      <c r="B8">
        <v>7</v>
      </c>
      <c r="C8" s="3">
        <f>6/36</f>
        <v>0.16666666666666666</v>
      </c>
      <c r="D8">
        <f t="shared" si="0"/>
        <v>7.8886090522101181E-31</v>
      </c>
      <c r="E8">
        <v>49</v>
      </c>
    </row>
    <row r="9" spans="1:7" x14ac:dyDescent="0.25">
      <c r="A9" s="19"/>
      <c r="B9">
        <v>8</v>
      </c>
      <c r="C9" s="3">
        <f>5/36</f>
        <v>0.1388888888888889</v>
      </c>
      <c r="D9">
        <f t="shared" si="0"/>
        <v>1.0000000000000018</v>
      </c>
      <c r="E9">
        <v>64</v>
      </c>
    </row>
    <row r="10" spans="1:7" x14ac:dyDescent="0.25">
      <c r="A10" s="19"/>
      <c r="B10">
        <v>9</v>
      </c>
      <c r="C10" s="3">
        <f>4/36</f>
        <v>0.1111111111111111</v>
      </c>
      <c r="D10">
        <f t="shared" si="0"/>
        <v>4.0000000000000036</v>
      </c>
      <c r="E10">
        <v>81</v>
      </c>
    </row>
    <row r="11" spans="1:7" x14ac:dyDescent="0.25">
      <c r="A11" s="19"/>
      <c r="B11">
        <v>10</v>
      </c>
      <c r="C11" s="3">
        <f>3/36</f>
        <v>8.3333333333333329E-2</v>
      </c>
      <c r="D11">
        <f t="shared" si="0"/>
        <v>9.0000000000000053</v>
      </c>
      <c r="E11">
        <v>100</v>
      </c>
    </row>
    <row r="12" spans="1:7" x14ac:dyDescent="0.25">
      <c r="A12" s="19"/>
      <c r="B12">
        <v>11</v>
      </c>
      <c r="C12" s="3">
        <f>2/36</f>
        <v>5.5555555555555552E-2</v>
      </c>
      <c r="D12">
        <f t="shared" si="0"/>
        <v>16.000000000000007</v>
      </c>
      <c r="E12">
        <v>121</v>
      </c>
    </row>
    <row r="13" spans="1:7" x14ac:dyDescent="0.25">
      <c r="A13" s="19"/>
      <c r="B13">
        <v>12</v>
      </c>
      <c r="C13" s="3">
        <f>1/36</f>
        <v>2.7777777777777776E-2</v>
      </c>
      <c r="D13">
        <f t="shared" si="0"/>
        <v>25.000000000000007</v>
      </c>
      <c r="E13">
        <v>144</v>
      </c>
    </row>
    <row r="14" spans="1:7" x14ac:dyDescent="0.25">
      <c r="A14" s="2"/>
    </row>
    <row r="16" spans="1:7" x14ac:dyDescent="0.25">
      <c r="B16" t="s">
        <v>31</v>
      </c>
    </row>
    <row r="17" spans="2:5" x14ac:dyDescent="0.25">
      <c r="B17" t="s">
        <v>32</v>
      </c>
      <c r="C17" s="3">
        <f>SUMPRODUCT(B3:B13,C3:C13)</f>
        <v>6.9999999999999991</v>
      </c>
    </row>
    <row r="18" spans="2:5" x14ac:dyDescent="0.25">
      <c r="B18" t="s">
        <v>33</v>
      </c>
      <c r="C18" s="3">
        <f>50*C17</f>
        <v>349.99999999999994</v>
      </c>
    </row>
    <row r="20" spans="2:5" x14ac:dyDescent="0.25">
      <c r="B20" s="1" t="s">
        <v>2</v>
      </c>
      <c r="C20" s="4">
        <f>SUMPRODUCT(C3:C13, D3:D13)*50</f>
        <v>291.66666666666669</v>
      </c>
      <c r="E20" t="s">
        <v>20</v>
      </c>
    </row>
    <row r="21" spans="2:5" x14ac:dyDescent="0.25">
      <c r="B21" s="1"/>
    </row>
    <row r="22" spans="2:5" x14ac:dyDescent="0.25">
      <c r="B22" s="1" t="s">
        <v>3</v>
      </c>
      <c r="C22" s="3">
        <f>SQRT(C20)</f>
        <v>17.078251276599332</v>
      </c>
    </row>
    <row r="23" spans="2:5" x14ac:dyDescent="0.25">
      <c r="B23" s="1"/>
    </row>
    <row r="24" spans="2:5" x14ac:dyDescent="0.25">
      <c r="B24" s="1" t="s">
        <v>19</v>
      </c>
      <c r="C24" s="3">
        <f>SUMPRODUCT(E3:E13,C3:C13)</f>
        <v>54.833333333333321</v>
      </c>
      <c r="E24" t="s">
        <v>21</v>
      </c>
    </row>
    <row r="25" spans="2:5" x14ac:dyDescent="0.25">
      <c r="B25" s="1" t="s">
        <v>6</v>
      </c>
      <c r="C25" s="3">
        <f>(C24-C17^2)*50</f>
        <v>291.6666666666668</v>
      </c>
    </row>
    <row r="26" spans="2:5" x14ac:dyDescent="0.25">
      <c r="B26" s="1" t="s">
        <v>7</v>
      </c>
      <c r="C26" s="3">
        <f>SQRT(C25)</f>
        <v>17.078251276599335</v>
      </c>
    </row>
  </sheetData>
  <mergeCells count="2">
    <mergeCell ref="A1:E1"/>
    <mergeCell ref="A3:A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B2" sqref="B2:D10"/>
    </sheetView>
  </sheetViews>
  <sheetFormatPr defaultRowHeight="15" x14ac:dyDescent="0.25"/>
  <cols>
    <col min="2" max="2" width="28.28515625" style="1" bestFit="1" customWidth="1"/>
    <col min="3" max="3" width="12" customWidth="1"/>
    <col min="8" max="8" width="12" bestFit="1" customWidth="1"/>
  </cols>
  <sheetData>
    <row r="1" spans="1:5" x14ac:dyDescent="0.25">
      <c r="A1" s="18" t="s">
        <v>22</v>
      </c>
      <c r="B1" s="18"/>
      <c r="C1" s="18"/>
      <c r="D1" s="18"/>
      <c r="E1" s="18"/>
    </row>
    <row r="2" spans="1:5" x14ac:dyDescent="0.25">
      <c r="B2" s="1" t="s">
        <v>39</v>
      </c>
      <c r="C2">
        <v>0.04</v>
      </c>
    </row>
    <row r="3" spans="1:5" x14ac:dyDescent="0.25">
      <c r="B3" s="1" t="s">
        <v>40</v>
      </c>
      <c r="C3">
        <v>50</v>
      </c>
    </row>
    <row r="4" spans="1:5" x14ac:dyDescent="0.25">
      <c r="B4" s="1" t="s">
        <v>43</v>
      </c>
      <c r="C4">
        <v>0</v>
      </c>
      <c r="D4">
        <v>0</v>
      </c>
      <c r="E4">
        <v>10</v>
      </c>
    </row>
    <row r="5" spans="1:5" x14ac:dyDescent="0.25">
      <c r="B5" s="1" t="s">
        <v>44</v>
      </c>
      <c r="C5">
        <v>0</v>
      </c>
      <c r="D5">
        <v>1</v>
      </c>
      <c r="E5">
        <v>50</v>
      </c>
    </row>
    <row r="6" spans="1:5" x14ac:dyDescent="0.25">
      <c r="C6" t="s">
        <v>45</v>
      </c>
      <c r="D6" t="s">
        <v>46</v>
      </c>
      <c r="E6" t="s">
        <v>47</v>
      </c>
    </row>
    <row r="8" spans="1:5" x14ac:dyDescent="0.25">
      <c r="B8" s="1" t="s">
        <v>41</v>
      </c>
      <c r="C8" s="9">
        <f>_xlfn.BINOM.DIST.RANGE(C3, C2, C4, C5)</f>
        <v>0.12988579352203861</v>
      </c>
      <c r="D8" t="str">
        <f ca="1">_xlfn.FORMULATEXT(C8)</f>
        <v>=BINOM.DIST.RANGE(C3, C2, C4, C5)</v>
      </c>
    </row>
    <row r="9" spans="1:5" x14ac:dyDescent="0.25">
      <c r="B9" s="1" t="s">
        <v>42</v>
      </c>
      <c r="C9" s="9">
        <f>_xlfn.BINOM.DIST.RANGE(C3, C2, D4, D5)</f>
        <v>0.40048119669295212</v>
      </c>
      <c r="D9" t="str">
        <f ca="1">_xlfn.FORMULATEXT(C9)</f>
        <v>=BINOM.DIST.RANGE(C3, C2, D4, D5)</v>
      </c>
    </row>
    <row r="10" spans="1:5" x14ac:dyDescent="0.25">
      <c r="B10" s="1" t="s">
        <v>48</v>
      </c>
      <c r="C10" s="9">
        <f>_xlfn.BINOM.DIST.RANGE(C3, C2, E4, E5)</f>
        <v>2.4722574807427901E-5</v>
      </c>
      <c r="D10" t="str">
        <f ca="1">_xlfn.FORMULATEXT(C10)</f>
        <v>=BINOM.DIST.RANGE(C3, C2, E4, E5)</v>
      </c>
    </row>
    <row r="13" spans="1:5" x14ac:dyDescent="0.25">
      <c r="A13" s="18" t="s">
        <v>23</v>
      </c>
      <c r="B13" s="18"/>
      <c r="C13" s="18"/>
      <c r="D13" s="18"/>
      <c r="E13" s="18"/>
    </row>
    <row r="14" spans="1:5" x14ac:dyDescent="0.25">
      <c r="B14" s="1" t="s">
        <v>49</v>
      </c>
      <c r="C14">
        <v>0.95</v>
      </c>
    </row>
    <row r="15" spans="1:5" x14ac:dyDescent="0.25">
      <c r="B15" s="1" t="s">
        <v>40</v>
      </c>
      <c r="C15">
        <v>101</v>
      </c>
      <c r="D15">
        <v>105</v>
      </c>
      <c r="E15">
        <v>112</v>
      </c>
    </row>
    <row r="16" spans="1:5" x14ac:dyDescent="0.25">
      <c r="B16" s="1" t="s">
        <v>43</v>
      </c>
      <c r="C16">
        <v>101</v>
      </c>
      <c r="D16">
        <v>101</v>
      </c>
      <c r="E16">
        <v>101</v>
      </c>
    </row>
    <row r="17" spans="1:7" x14ac:dyDescent="0.25">
      <c r="B17" s="1" t="s">
        <v>44</v>
      </c>
      <c r="C17">
        <v>101</v>
      </c>
      <c r="D17">
        <v>105</v>
      </c>
      <c r="E17">
        <v>112</v>
      </c>
    </row>
    <row r="18" spans="1:7" x14ac:dyDescent="0.25">
      <c r="C18" t="s">
        <v>45</v>
      </c>
      <c r="D18" t="s">
        <v>46</v>
      </c>
      <c r="E18" t="s">
        <v>47</v>
      </c>
    </row>
    <row r="20" spans="1:7" x14ac:dyDescent="0.25">
      <c r="B20" s="1" t="s">
        <v>50</v>
      </c>
      <c r="C20" s="9">
        <f>_xlfn.BINOM.DIST.RANGE(C15, C14, C16, C17)</f>
        <v>5.6245027593172982E-3</v>
      </c>
      <c r="D20" t="str">
        <f ca="1">_xlfn.FORMULATEXT(C20)</f>
        <v>=BINOM.DIST.RANGE(C15, C14, C16, C17)</v>
      </c>
    </row>
    <row r="21" spans="1:7" x14ac:dyDescent="0.25">
      <c r="C21" s="9">
        <f>_xlfn.BINOM.DIST.RANGE(D15, C14,D16, D17)</f>
        <v>0.39243372050478653</v>
      </c>
      <c r="D21" t="str">
        <f ca="1">_xlfn.FORMULATEXT(C21)</f>
        <v>=BINOM.DIST.RANGE(D15, C14,D16, D17)</v>
      </c>
    </row>
    <row r="22" spans="1:7" x14ac:dyDescent="0.25">
      <c r="C22" s="9">
        <f>_xlfn.BINOM.DIST.RANGE(E15, C14, E16, E17)</f>
        <v>0.98958943865110849</v>
      </c>
      <c r="D22" t="str">
        <f ca="1">_xlfn.FORMULATEXT(C22)</f>
        <v>=BINOM.DIST.RANGE(E15, C14, E16, E17)</v>
      </c>
    </row>
    <row r="25" spans="1:7" x14ac:dyDescent="0.25">
      <c r="A25" s="18" t="s">
        <v>24</v>
      </c>
      <c r="B25" s="18"/>
      <c r="C25" s="18"/>
      <c r="D25" s="18"/>
      <c r="E25" s="18"/>
    </row>
    <row r="26" spans="1:7" x14ac:dyDescent="0.25">
      <c r="B26" s="1" t="s">
        <v>51</v>
      </c>
      <c r="C26">
        <v>0.5</v>
      </c>
      <c r="D26">
        <v>5.4699999999999999E-2</v>
      </c>
      <c r="E26" s="10" t="s">
        <v>55</v>
      </c>
    </row>
    <row r="27" spans="1:7" x14ac:dyDescent="0.25">
      <c r="B27" s="1" t="s">
        <v>40</v>
      </c>
      <c r="C27">
        <v>10</v>
      </c>
      <c r="D27">
        <v>100</v>
      </c>
      <c r="G27" t="s">
        <v>52</v>
      </c>
    </row>
    <row r="28" spans="1:7" x14ac:dyDescent="0.25">
      <c r="B28" s="1" t="s">
        <v>43</v>
      </c>
      <c r="C28">
        <v>8</v>
      </c>
      <c r="D28">
        <v>10</v>
      </c>
    </row>
    <row r="29" spans="1:7" x14ac:dyDescent="0.25">
      <c r="B29" s="1" t="s">
        <v>44</v>
      </c>
      <c r="C29">
        <v>10</v>
      </c>
      <c r="D29">
        <v>100</v>
      </c>
    </row>
    <row r="30" spans="1:7" x14ac:dyDescent="0.25">
      <c r="C30" t="s">
        <v>45</v>
      </c>
      <c r="D30" t="s">
        <v>46</v>
      </c>
    </row>
    <row r="32" spans="1:7" x14ac:dyDescent="0.25">
      <c r="B32" s="1" t="s">
        <v>53</v>
      </c>
      <c r="C32" s="8">
        <f>_xlfn.BINOM.DIST.RANGE(C27, C26, C28, C29)</f>
        <v>5.46875E-2</v>
      </c>
      <c r="D32" t="str">
        <f ca="1">_xlfn.FORMULATEXT(C32)</f>
        <v>=BINOM.DIST.RANGE(C27, C26, C28, C29)</v>
      </c>
    </row>
    <row r="33" spans="2:4" x14ac:dyDescent="0.25">
      <c r="B33" s="1" t="s">
        <v>54</v>
      </c>
      <c r="C33" s="8">
        <f>_xlfn.BINOM.DIST.RANGE(D27, D26,D28, D29)</f>
        <v>4.7242049295145611E-2</v>
      </c>
      <c r="D33" t="str">
        <f ca="1">_xlfn.FORMULATEXT(C33)</f>
        <v>=BINOM.DIST.RANGE(D27, D26,D28, D29)</v>
      </c>
    </row>
  </sheetData>
  <mergeCells count="3">
    <mergeCell ref="A1:E1"/>
    <mergeCell ref="A13:E13"/>
    <mergeCell ref="A25:E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B2" sqref="B2:E7"/>
    </sheetView>
  </sheetViews>
  <sheetFormatPr defaultRowHeight="15" x14ac:dyDescent="0.25"/>
  <cols>
    <col min="2" max="2" width="12.140625" style="1" bestFit="1" customWidth="1"/>
    <col min="3" max="3" width="12" bestFit="1" customWidth="1"/>
  </cols>
  <sheetData>
    <row r="1" spans="1:5" x14ac:dyDescent="0.25">
      <c r="A1" s="18" t="s">
        <v>22</v>
      </c>
      <c r="B1" s="18"/>
      <c r="C1" s="18"/>
      <c r="D1" s="18"/>
      <c r="E1" s="18"/>
    </row>
    <row r="2" spans="1:5" x14ac:dyDescent="0.25">
      <c r="E2" t="s">
        <v>58</v>
      </c>
    </row>
    <row r="3" spans="1:5" x14ac:dyDescent="0.25">
      <c r="B3" s="1" t="s">
        <v>57</v>
      </c>
      <c r="C3">
        <v>1</v>
      </c>
      <c r="E3" t="s">
        <v>59</v>
      </c>
    </row>
    <row r="4" spans="1:5" x14ac:dyDescent="0.25">
      <c r="B4" s="1" t="s">
        <v>61</v>
      </c>
      <c r="C4">
        <v>2.1</v>
      </c>
    </row>
    <row r="5" spans="1:5" x14ac:dyDescent="0.25">
      <c r="B5" s="1" t="s">
        <v>68</v>
      </c>
      <c r="C5" t="b">
        <f>TRUE()</f>
        <v>1</v>
      </c>
    </row>
    <row r="7" spans="1:5" x14ac:dyDescent="0.25">
      <c r="B7" s="1" t="s">
        <v>63</v>
      </c>
      <c r="C7" s="7">
        <f>1 - _xlfn.POISSON.DIST(C3, C4, C5)</f>
        <v>0.62038507241575602</v>
      </c>
      <c r="D7" t="str">
        <f ca="1">_xlfn.FORMULATEXT(C7)</f>
        <v>=1 - POISSON.DIST(C3, C4, C5)</v>
      </c>
    </row>
    <row r="10" spans="1:5" x14ac:dyDescent="0.25">
      <c r="A10" s="18" t="s">
        <v>23</v>
      </c>
      <c r="B10" s="18"/>
      <c r="C10" s="18"/>
      <c r="D10" s="18"/>
      <c r="E10" s="18"/>
    </row>
    <row r="11" spans="1:5" x14ac:dyDescent="0.25">
      <c r="E11" t="s">
        <v>60</v>
      </c>
    </row>
    <row r="12" spans="1:5" x14ac:dyDescent="0.25">
      <c r="B12" s="1" t="s">
        <v>57</v>
      </c>
      <c r="C12">
        <v>5</v>
      </c>
    </row>
    <row r="13" spans="1:5" x14ac:dyDescent="0.25">
      <c r="B13" s="1" t="s">
        <v>66</v>
      </c>
      <c r="C13">
        <f>1/20</f>
        <v>0.05</v>
      </c>
      <c r="D13">
        <f>C13*200</f>
        <v>10</v>
      </c>
      <c r="E13" s="10" t="s">
        <v>67</v>
      </c>
    </row>
    <row r="14" spans="1:5" x14ac:dyDescent="0.25">
      <c r="B14" s="1" t="s">
        <v>69</v>
      </c>
      <c r="C14" t="b">
        <f>TRUE()</f>
        <v>1</v>
      </c>
    </row>
    <row r="16" spans="1:5" x14ac:dyDescent="0.25">
      <c r="B16" s="1" t="s">
        <v>62</v>
      </c>
      <c r="C16" s="7">
        <f>_xlfn.POISSON.DIST(C12, D13, C14)</f>
        <v>6.7085962879031805E-2</v>
      </c>
      <c r="D16" t="str">
        <f ca="1">_xlfn.FORMULATEXT(C16)</f>
        <v>=POISSON.DIST(C12, D13, C14)</v>
      </c>
    </row>
    <row r="19" spans="1:5" x14ac:dyDescent="0.25">
      <c r="A19" s="18" t="s">
        <v>24</v>
      </c>
      <c r="B19" s="18"/>
      <c r="C19" s="18"/>
      <c r="D19" s="18"/>
      <c r="E19" s="18"/>
    </row>
    <row r="20" spans="1:5" x14ac:dyDescent="0.25">
      <c r="E20" t="s">
        <v>60</v>
      </c>
    </row>
    <row r="21" spans="1:5" x14ac:dyDescent="0.25">
      <c r="B21" s="1" t="s">
        <v>57</v>
      </c>
      <c r="C21">
        <v>900</v>
      </c>
    </row>
    <row r="22" spans="1:5" x14ac:dyDescent="0.25">
      <c r="B22" s="1" t="s">
        <v>64</v>
      </c>
      <c r="C22">
        <v>300</v>
      </c>
      <c r="D22">
        <f>C22*3</f>
        <v>900</v>
      </c>
      <c r="E22" s="10" t="s">
        <v>65</v>
      </c>
    </row>
    <row r="23" spans="1:5" x14ac:dyDescent="0.25">
      <c r="B23" s="1" t="s">
        <v>68</v>
      </c>
      <c r="C23" t="b">
        <f>FALSE</f>
        <v>0</v>
      </c>
    </row>
    <row r="25" spans="1:5" x14ac:dyDescent="0.25">
      <c r="B25" s="1" t="s">
        <v>56</v>
      </c>
      <c r="C25" s="9">
        <f>_xlfn.POISSON.DIST(C21, D22, C23)</f>
        <v>1.3296844767100208E-2</v>
      </c>
      <c r="D25" t="str">
        <f ca="1">_xlfn.FORMULATEXT(C25)</f>
        <v>=POISSON.DIST(C21, D22, C23)</v>
      </c>
    </row>
  </sheetData>
  <mergeCells count="3">
    <mergeCell ref="A1:E1"/>
    <mergeCell ref="A10:E10"/>
    <mergeCell ref="A19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B3" sqref="B3:D10"/>
    </sheetView>
  </sheetViews>
  <sheetFormatPr defaultRowHeight="15" x14ac:dyDescent="0.25"/>
  <cols>
    <col min="2" max="2" width="22.28515625" style="1" bestFit="1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x14ac:dyDescent="0.25">
      <c r="B3" s="1" t="s">
        <v>70</v>
      </c>
      <c r="C3">
        <v>12</v>
      </c>
      <c r="D3">
        <v>12.1</v>
      </c>
    </row>
    <row r="4" spans="1:5" x14ac:dyDescent="0.25">
      <c r="B4" s="1" t="s">
        <v>73</v>
      </c>
      <c r="C4" t="s">
        <v>74</v>
      </c>
      <c r="D4" t="s">
        <v>75</v>
      </c>
    </row>
    <row r="5" spans="1:5" x14ac:dyDescent="0.25">
      <c r="B5" s="1" t="s">
        <v>71</v>
      </c>
      <c r="C5">
        <v>12.03</v>
      </c>
      <c r="D5">
        <v>12.03</v>
      </c>
    </row>
    <row r="6" spans="1:5" x14ac:dyDescent="0.25">
      <c r="B6" s="1" t="s">
        <v>72</v>
      </c>
      <c r="C6">
        <v>0.05</v>
      </c>
      <c r="D6">
        <v>0.05</v>
      </c>
    </row>
    <row r="7" spans="1:5" x14ac:dyDescent="0.25">
      <c r="C7" t="s">
        <v>45</v>
      </c>
      <c r="D7" t="s">
        <v>46</v>
      </c>
    </row>
    <row r="9" spans="1:5" x14ac:dyDescent="0.25">
      <c r="B9" s="1" t="s">
        <v>76</v>
      </c>
      <c r="C9" s="7">
        <f>IF(C4="LT", _xlfn.NORM.DIST(C3,C5,C6,TRUE), 1-_xlfn.NORM.DIST(C3,C5,C6,TRUE))</f>
        <v>0.72574688224992223</v>
      </c>
      <c r="D9" t="str">
        <f ca="1">_xlfn.FORMULATEXT(C9)</f>
        <v>=IF(C4="LT", NORM.DIST(C3,C5,C6,TRUE), 1-NORM.DIST(C3,C5,C6,TRUE))</v>
      </c>
    </row>
    <row r="10" spans="1:5" x14ac:dyDescent="0.25">
      <c r="B10" s="1" t="s">
        <v>77</v>
      </c>
      <c r="C10" s="7">
        <f>IF(D4="LT", _xlfn.NORM.DIST(D3,D5,D6,TRUE), 1-_xlfn.NORM.DIST(D3,D5,D6,TRUE))</f>
        <v>0.91924334076622982</v>
      </c>
      <c r="D10" t="str">
        <f ca="1">_xlfn.FORMULATEXT(C10)</f>
        <v>=IF(D4="LT", NORM.DIST(D3,D5,D6,TRUE), 1-NORM.DIST(D3,D5,D6,TRUE))</v>
      </c>
    </row>
    <row r="13" spans="1:5" x14ac:dyDescent="0.25">
      <c r="A13" s="18" t="s">
        <v>23</v>
      </c>
      <c r="B13" s="18"/>
      <c r="C13" s="18"/>
      <c r="D13" s="18"/>
      <c r="E13" s="18"/>
    </row>
    <row r="15" spans="1:5" x14ac:dyDescent="0.25">
      <c r="B15" s="1" t="s">
        <v>70</v>
      </c>
      <c r="C15">
        <v>35000</v>
      </c>
      <c r="D15">
        <v>49000</v>
      </c>
    </row>
    <row r="16" spans="1:5" x14ac:dyDescent="0.25">
      <c r="B16" s="1" t="s">
        <v>73</v>
      </c>
      <c r="C16" t="s">
        <v>75</v>
      </c>
      <c r="D16" t="s">
        <v>75</v>
      </c>
    </row>
    <row r="17" spans="1:5" x14ac:dyDescent="0.25">
      <c r="B17" s="1" t="s">
        <v>71</v>
      </c>
      <c r="C17">
        <v>40000</v>
      </c>
      <c r="D17">
        <v>40000</v>
      </c>
    </row>
    <row r="18" spans="1:5" x14ac:dyDescent="0.25">
      <c r="B18" s="1" t="s">
        <v>72</v>
      </c>
      <c r="C18">
        <v>10000</v>
      </c>
      <c r="D18">
        <v>10000</v>
      </c>
    </row>
    <row r="19" spans="1:5" x14ac:dyDescent="0.25">
      <c r="C19" t="s">
        <v>45</v>
      </c>
      <c r="D19" t="s">
        <v>46</v>
      </c>
    </row>
    <row r="21" spans="1:5" x14ac:dyDescent="0.25">
      <c r="B21" s="1" t="s">
        <v>78</v>
      </c>
      <c r="C21" s="7">
        <f>IF(C16="LT", _xlfn.NORM.DIST(C15,C17,C18,TRUE), 1-_xlfn.NORM.DIST(C15,C17,C18,TRUE))</f>
        <v>0.30853753872598688</v>
      </c>
      <c r="D21" t="str">
        <f ca="1">_xlfn.FORMULATEXT(C21)</f>
        <v>=IF(C16="LT", NORM.DIST(C15,C17,C18,TRUE), 1-NORM.DIST(C15,C17,C18,TRUE))</v>
      </c>
    </row>
    <row r="22" spans="1:5" x14ac:dyDescent="0.25">
      <c r="B22" s="1" t="s">
        <v>79</v>
      </c>
      <c r="C22" s="7">
        <f>IF(D16="LT", _xlfn.NORM.DIST(D15,D17,D18,TRUE), 1-_xlfn.NORM.DIST(D15,D17,D18,TRUE))</f>
        <v>0.81593987465324047</v>
      </c>
      <c r="D22" t="str">
        <f ca="1">_xlfn.FORMULATEXT(C22)</f>
        <v>=IF(D16="LT", NORM.DIST(D15,D17,D18,TRUE), 1-NORM.DIST(D15,D17,D18,TRUE))</v>
      </c>
    </row>
    <row r="23" spans="1:5" x14ac:dyDescent="0.25">
      <c r="B23" s="1" t="s">
        <v>80</v>
      </c>
      <c r="C23" s="11">
        <f>C22-C21</f>
        <v>0.50740233592725359</v>
      </c>
      <c r="D23" t="str">
        <f ca="1">_xlfn.FORMULATEXT(C23)</f>
        <v>=C22-C21</v>
      </c>
    </row>
    <row r="24" spans="1:5" x14ac:dyDescent="0.25">
      <c r="B24" s="1" t="s">
        <v>81</v>
      </c>
      <c r="C24">
        <f>_xlfn.NORM.INV(0.95, C17, C18)</f>
        <v>56448.53626951472</v>
      </c>
      <c r="D24" t="str">
        <f ca="1">_xlfn.FORMULATEXT(C24)</f>
        <v>=NORM.INV(0.95, C17, C18)</v>
      </c>
    </row>
    <row r="27" spans="1:5" x14ac:dyDescent="0.25">
      <c r="A27" s="18" t="s">
        <v>24</v>
      </c>
      <c r="B27" s="18"/>
      <c r="C27" s="18"/>
      <c r="D27" s="18"/>
      <c r="E27" s="18"/>
    </row>
    <row r="29" spans="1:5" x14ac:dyDescent="0.25">
      <c r="B29" s="1" t="s">
        <v>70</v>
      </c>
      <c r="C29">
        <v>400</v>
      </c>
      <c r="D29">
        <v>1100</v>
      </c>
    </row>
    <row r="30" spans="1:5" x14ac:dyDescent="0.25">
      <c r="B30" s="1" t="s">
        <v>73</v>
      </c>
      <c r="C30" t="s">
        <v>75</v>
      </c>
      <c r="D30" t="s">
        <v>75</v>
      </c>
    </row>
    <row r="31" spans="1:5" x14ac:dyDescent="0.25">
      <c r="B31" s="1" t="s">
        <v>71</v>
      </c>
      <c r="C31">
        <v>1000</v>
      </c>
      <c r="D31">
        <v>1000</v>
      </c>
    </row>
    <row r="32" spans="1:5" x14ac:dyDescent="0.25">
      <c r="B32" s="1" t="s">
        <v>72</v>
      </c>
      <c r="C32">
        <v>250</v>
      </c>
      <c r="D32">
        <v>250</v>
      </c>
    </row>
    <row r="33" spans="2:4" x14ac:dyDescent="0.25">
      <c r="C33" t="s">
        <v>45</v>
      </c>
      <c r="D33" t="s">
        <v>46</v>
      </c>
    </row>
    <row r="35" spans="2:4" x14ac:dyDescent="0.25">
      <c r="B35" s="1" t="s">
        <v>82</v>
      </c>
      <c r="C35" s="7">
        <f>IF(C30="LT", _xlfn.NORM.DIST(C29,C31,C32,TRUE), 1-_xlfn.NORM.DIST(C29,C31,C32,TRUE))</f>
        <v>8.1975359245961311E-3</v>
      </c>
      <c r="D35" t="str">
        <f ca="1">_xlfn.FORMULATEXT(C35)</f>
        <v>=IF(C30="LT", NORM.DIST(C29,C31,C32,TRUE), 1-NORM.DIST(C29,C31,C32,TRUE))</v>
      </c>
    </row>
    <row r="36" spans="2:4" x14ac:dyDescent="0.25">
      <c r="B36" s="1" t="s">
        <v>83</v>
      </c>
      <c r="C36" s="7">
        <f>IF(D30="LT", _xlfn.NORM.DIST(D29,D31,D32,TRUE), 1-_xlfn.NORM.DIST(D29,D31,D32,TRUE))</f>
        <v>0.65542174161032429</v>
      </c>
      <c r="D36" t="str">
        <f ca="1">_xlfn.FORMULATEXT(C36)</f>
        <v>=IF(D30="LT", NORM.DIST(D29,D31,D32,TRUE), 1-NORM.DIST(D29,D31,D32,TRUE))</v>
      </c>
    </row>
    <row r="37" spans="2:4" x14ac:dyDescent="0.25">
      <c r="B37" s="1" t="s">
        <v>84</v>
      </c>
      <c r="C37" s="11">
        <f>C36-C35</f>
        <v>0.64722420568572814</v>
      </c>
      <c r="D37" t="str">
        <f ca="1">_xlfn.FORMULATEXT(C37)</f>
        <v>=C36-C35</v>
      </c>
    </row>
    <row r="38" spans="2:4" x14ac:dyDescent="0.25">
      <c r="B38" s="1" t="s">
        <v>85</v>
      </c>
      <c r="C38">
        <f>_xlfn.NORM.INV(0.01, C31, C32)</f>
        <v>418.41303148978977</v>
      </c>
      <c r="D38" t="str">
        <f ca="1">_xlfn.FORMULATEXT(C38)</f>
        <v>=NORM.INV(0.01, C31, C32)</v>
      </c>
    </row>
  </sheetData>
  <mergeCells count="3">
    <mergeCell ref="A1:E1"/>
    <mergeCell ref="A13:E13"/>
    <mergeCell ref="A27:E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opLeftCell="A13" workbookViewId="0">
      <selection activeCell="B29" sqref="B29:C32"/>
    </sheetView>
  </sheetViews>
  <sheetFormatPr defaultRowHeight="15" x14ac:dyDescent="0.25"/>
  <cols>
    <col min="2" max="2" width="34.7109375" style="1" customWidth="1"/>
    <col min="3" max="3" width="12.85546875" customWidth="1"/>
    <col min="4" max="4" width="11.7109375" customWidth="1"/>
    <col min="5" max="5" width="11" bestFit="1" customWidth="1"/>
    <col min="8" max="8" width="12.7109375" style="1" bestFit="1" customWidth="1"/>
  </cols>
  <sheetData>
    <row r="1" spans="1:6" x14ac:dyDescent="0.25">
      <c r="A1" s="18" t="s">
        <v>86</v>
      </c>
      <c r="B1" s="18"/>
      <c r="C1" s="18"/>
      <c r="D1" s="18"/>
      <c r="E1" s="18"/>
    </row>
    <row r="3" spans="1:6" x14ac:dyDescent="0.25">
      <c r="B3" s="1" t="s">
        <v>39</v>
      </c>
      <c r="C3">
        <v>0.49299999999999999</v>
      </c>
      <c r="F3" t="s">
        <v>105</v>
      </c>
    </row>
    <row r="4" spans="1:6" x14ac:dyDescent="0.25">
      <c r="B4" s="1" t="s">
        <v>40</v>
      </c>
      <c r="C4">
        <v>10000</v>
      </c>
    </row>
    <row r="5" spans="1:6" x14ac:dyDescent="0.25">
      <c r="B5" s="1" t="s">
        <v>43</v>
      </c>
      <c r="C5">
        <v>5001</v>
      </c>
    </row>
    <row r="6" spans="1:6" x14ac:dyDescent="0.25">
      <c r="B6" s="1" t="s">
        <v>44</v>
      </c>
      <c r="C6">
        <v>10000</v>
      </c>
    </row>
    <row r="7" spans="1:6" x14ac:dyDescent="0.25">
      <c r="C7" t="s">
        <v>45</v>
      </c>
    </row>
    <row r="9" spans="1:6" x14ac:dyDescent="0.25">
      <c r="B9" s="1" t="s">
        <v>87</v>
      </c>
      <c r="C9" s="9">
        <f>_xlfn.BINOM.DIST.RANGE(C4, C3, C5, C6)</f>
        <v>7.9254534105954511E-2</v>
      </c>
      <c r="D9" t="str">
        <f ca="1">_xlfn.FORMULATEXT(C9)</f>
        <v>=BINOM.DIST.RANGE(C4, C3, C5, C6)</v>
      </c>
    </row>
    <row r="10" spans="1:6" x14ac:dyDescent="0.25">
      <c r="C10" s="9"/>
    </row>
    <row r="11" spans="1:6" x14ac:dyDescent="0.25">
      <c r="C11" s="9"/>
    </row>
    <row r="13" spans="1:6" x14ac:dyDescent="0.25">
      <c r="E13" t="s">
        <v>92</v>
      </c>
    </row>
    <row r="14" spans="1:6" x14ac:dyDescent="0.25">
      <c r="B14" s="1" t="s">
        <v>89</v>
      </c>
      <c r="C14">
        <v>0.49299999999999999</v>
      </c>
      <c r="D14">
        <v>1</v>
      </c>
      <c r="E14">
        <v>1</v>
      </c>
    </row>
    <row r="15" spans="1:6" x14ac:dyDescent="0.25">
      <c r="B15" s="1" t="s">
        <v>88</v>
      </c>
      <c r="C15">
        <f>1-C14</f>
        <v>0.50700000000000001</v>
      </c>
      <c r="D15">
        <v>-1</v>
      </c>
      <c r="E15">
        <v>1</v>
      </c>
    </row>
    <row r="16" spans="1:6" x14ac:dyDescent="0.25">
      <c r="B16" s="1" t="s">
        <v>32</v>
      </c>
      <c r="C16">
        <f>SUMPRODUCT(C14:C15, D14:D15)</f>
        <v>-1.4000000000000012E-2</v>
      </c>
    </row>
    <row r="17" spans="1:6" x14ac:dyDescent="0.25">
      <c r="B17" s="1" t="s">
        <v>90</v>
      </c>
      <c r="C17">
        <f>10000*C16</f>
        <v>-140.00000000000011</v>
      </c>
    </row>
    <row r="18" spans="1:6" x14ac:dyDescent="0.25">
      <c r="B18" s="1" t="s">
        <v>91</v>
      </c>
      <c r="C18">
        <f>SUMPRODUCT(C14:C15, E14:E15)-C16^2</f>
        <v>0.99980400000000003</v>
      </c>
    </row>
    <row r="19" spans="1:6" x14ac:dyDescent="0.25">
      <c r="B19" s="1" t="s">
        <v>94</v>
      </c>
      <c r="C19">
        <f>10000*C18</f>
        <v>9998.0400000000009</v>
      </c>
    </row>
    <row r="20" spans="1:6" x14ac:dyDescent="0.25">
      <c r="B20" s="1" t="s">
        <v>93</v>
      </c>
      <c r="C20">
        <f>SQRT(C19)</f>
        <v>99.990199519752935</v>
      </c>
    </row>
    <row r="22" spans="1:6" x14ac:dyDescent="0.25">
      <c r="B22" s="1" t="s">
        <v>95</v>
      </c>
      <c r="C22" s="7">
        <f>_xlfn.NORM.DIST(-0.5, C17, C20, TRUE)</f>
        <v>0.91851269405459579</v>
      </c>
      <c r="D22" t="str">
        <f ca="1">_xlfn.FORMULATEXT(C22)</f>
        <v>=NORM.DIST(-0.5, C17, C20, TRUE)</v>
      </c>
    </row>
    <row r="23" spans="1:6" x14ac:dyDescent="0.25">
      <c r="B23" s="1" t="s">
        <v>103</v>
      </c>
      <c r="C23" s="9">
        <f>1-C22</f>
        <v>8.1487305945404209E-2</v>
      </c>
    </row>
    <row r="27" spans="1:6" x14ac:dyDescent="0.25">
      <c r="A27" s="18" t="s">
        <v>96</v>
      </c>
      <c r="B27" s="18"/>
      <c r="C27" s="18"/>
      <c r="D27" s="18"/>
      <c r="E27" s="18"/>
    </row>
    <row r="28" spans="1:6" x14ac:dyDescent="0.25">
      <c r="F28" t="s">
        <v>106</v>
      </c>
    </row>
    <row r="29" spans="1:6" x14ac:dyDescent="0.25">
      <c r="B29" s="1" t="s">
        <v>97</v>
      </c>
      <c r="C29">
        <v>0</v>
      </c>
    </row>
    <row r="30" spans="1:6" x14ac:dyDescent="0.25">
      <c r="B30" s="1" t="s">
        <v>99</v>
      </c>
      <c r="C30">
        <v>1.4999999999999999E-2</v>
      </c>
      <c r="D30" t="s">
        <v>98</v>
      </c>
      <c r="E30">
        <f>C30^2</f>
        <v>2.2499999999999999E-4</v>
      </c>
    </row>
    <row r="31" spans="1:6" x14ac:dyDescent="0.25">
      <c r="B31" s="1" t="s">
        <v>101</v>
      </c>
      <c r="C31">
        <f>SQRT(E31)</f>
        <v>0.23811761799581316</v>
      </c>
      <c r="D31" t="s">
        <v>100</v>
      </c>
      <c r="E31">
        <f>252*E30</f>
        <v>5.67E-2</v>
      </c>
    </row>
    <row r="32" spans="1:6" x14ac:dyDescent="0.25">
      <c r="B32" s="1" t="s">
        <v>102</v>
      </c>
      <c r="C32" s="12">
        <f>1-_xlfn.NORM.DIST(0.2,C29,C31, TRUE)</f>
        <v>0.20047632682095895</v>
      </c>
      <c r="D32" t="str">
        <f ca="1">_xlfn.FORMULATEXT(C32)</f>
        <v>=1-NORM.DIST(0.2,C29,C31, TRUE)</v>
      </c>
    </row>
    <row r="35" spans="1:6" x14ac:dyDescent="0.25">
      <c r="A35" s="18" t="s">
        <v>104</v>
      </c>
      <c r="B35" s="18"/>
      <c r="C35" s="18"/>
      <c r="D35" s="18"/>
      <c r="E35" s="18"/>
    </row>
    <row r="36" spans="1:6" x14ac:dyDescent="0.25">
      <c r="E36" t="s">
        <v>92</v>
      </c>
      <c r="F36" t="s">
        <v>105</v>
      </c>
    </row>
    <row r="37" spans="1:6" x14ac:dyDescent="0.25">
      <c r="B37" s="1" t="s">
        <v>108</v>
      </c>
      <c r="C37">
        <v>0.7</v>
      </c>
      <c r="D37">
        <v>0</v>
      </c>
      <c r="E37">
        <v>0</v>
      </c>
    </row>
    <row r="38" spans="1:6" x14ac:dyDescent="0.25">
      <c r="B38" s="1" t="s">
        <v>107</v>
      </c>
      <c r="C38">
        <v>0.15</v>
      </c>
      <c r="D38">
        <v>1</v>
      </c>
      <c r="E38">
        <v>1</v>
      </c>
    </row>
    <row r="39" spans="1:6" x14ac:dyDescent="0.25">
      <c r="B39" s="1" t="s">
        <v>109</v>
      </c>
      <c r="C39">
        <v>0.1</v>
      </c>
      <c r="D39">
        <v>2</v>
      </c>
      <c r="E39">
        <v>4</v>
      </c>
    </row>
    <row r="40" spans="1:6" x14ac:dyDescent="0.25">
      <c r="B40" s="1" t="s">
        <v>110</v>
      </c>
      <c r="C40">
        <v>0.05</v>
      </c>
      <c r="D40">
        <v>3</v>
      </c>
      <c r="E40">
        <v>9</v>
      </c>
    </row>
    <row r="42" spans="1:6" x14ac:dyDescent="0.25">
      <c r="B42" s="1" t="s">
        <v>111</v>
      </c>
      <c r="C42">
        <f>SUMPRODUCT(C37:C40, D37:D40)</f>
        <v>0.5</v>
      </c>
    </row>
    <row r="43" spans="1:6" x14ac:dyDescent="0.25">
      <c r="B43" s="1" t="s">
        <v>112</v>
      </c>
      <c r="C43">
        <f>500*C42</f>
        <v>250</v>
      </c>
    </row>
    <row r="44" spans="1:6" x14ac:dyDescent="0.25">
      <c r="B44" s="1" t="s">
        <v>113</v>
      </c>
      <c r="C44">
        <f>SUMPRODUCT(C37:C40, E37:E40) - C42^2</f>
        <v>0.75</v>
      </c>
    </row>
    <row r="45" spans="1:6" x14ac:dyDescent="0.25">
      <c r="B45" s="1" t="s">
        <v>114</v>
      </c>
      <c r="C45">
        <f>500*C44</f>
        <v>375</v>
      </c>
    </row>
    <row r="46" spans="1:6" x14ac:dyDescent="0.25">
      <c r="B46" s="1" t="s">
        <v>115</v>
      </c>
      <c r="C46">
        <f>SQRT(C45)</f>
        <v>19.364916731037084</v>
      </c>
    </row>
    <row r="48" spans="1:6" x14ac:dyDescent="0.25">
      <c r="B48" s="1" t="s">
        <v>116</v>
      </c>
      <c r="C48" s="7">
        <f>1-_xlfn.NORM.DIST(279.5, C43, C46, TRUE)</f>
        <v>6.3832650321159257E-2</v>
      </c>
      <c r="D48" t="str">
        <f ca="1">_xlfn.FORMULATEXT(C48)</f>
        <v>=1-NORM.DIST(279.5, C43, C46, TRUE)</v>
      </c>
    </row>
  </sheetData>
  <mergeCells count="3">
    <mergeCell ref="A1:E1"/>
    <mergeCell ref="A27:E27"/>
    <mergeCell ref="A35:E3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3"/>
  <sheetViews>
    <sheetView tabSelected="1" workbookViewId="0">
      <selection activeCell="C11" sqref="C11"/>
    </sheetView>
  </sheetViews>
  <sheetFormatPr defaultRowHeight="15" x14ac:dyDescent="0.25"/>
  <cols>
    <col min="8" max="8" width="14.85546875" customWidth="1"/>
    <col min="9" max="9" width="12.5703125" customWidth="1"/>
  </cols>
  <sheetData>
    <row r="1" spans="1:12" x14ac:dyDescent="0.25">
      <c r="A1" s="13" t="s">
        <v>117</v>
      </c>
      <c r="B1" s="13"/>
      <c r="C1" s="13"/>
      <c r="D1" s="13"/>
      <c r="E1" s="13"/>
      <c r="F1" s="13"/>
    </row>
    <row r="3" spans="1:12" x14ac:dyDescent="0.25">
      <c r="A3" s="13" t="s">
        <v>118</v>
      </c>
      <c r="B3" s="13"/>
      <c r="C3" s="13"/>
      <c r="D3" s="13"/>
      <c r="E3" s="13"/>
      <c r="F3" s="13"/>
      <c r="G3" s="13"/>
    </row>
    <row r="4" spans="1:12" x14ac:dyDescent="0.25">
      <c r="A4" s="13" t="s">
        <v>119</v>
      </c>
      <c r="B4" s="13"/>
      <c r="C4" s="13"/>
      <c r="D4" s="13"/>
      <c r="E4" s="13"/>
      <c r="F4" s="13"/>
      <c r="G4" s="13"/>
      <c r="I4" s="14" t="s">
        <v>120</v>
      </c>
      <c r="J4" s="14"/>
      <c r="K4" s="14"/>
      <c r="L4" s="14"/>
    </row>
    <row r="5" spans="1:12" x14ac:dyDescent="0.25">
      <c r="A5" s="13" t="s">
        <v>121</v>
      </c>
      <c r="B5" s="13"/>
      <c r="C5" s="13"/>
      <c r="D5" s="13"/>
      <c r="E5" s="13"/>
      <c r="F5" s="13"/>
      <c r="G5" s="13"/>
      <c r="I5" s="14" t="s">
        <v>122</v>
      </c>
      <c r="J5" s="14"/>
      <c r="K5" s="14"/>
      <c r="L5" s="14"/>
    </row>
    <row r="6" spans="1:12" x14ac:dyDescent="0.25">
      <c r="A6" s="13" t="s">
        <v>123</v>
      </c>
      <c r="B6" s="13"/>
      <c r="C6" s="13"/>
      <c r="D6" s="13"/>
      <c r="E6" s="13"/>
      <c r="F6" s="13"/>
      <c r="G6" s="13"/>
      <c r="I6" s="14" t="s">
        <v>124</v>
      </c>
      <c r="J6" s="14"/>
      <c r="K6" s="14"/>
      <c r="L6" s="14"/>
    </row>
    <row r="7" spans="1:12" x14ac:dyDescent="0.25">
      <c r="A7" s="13" t="s">
        <v>125</v>
      </c>
      <c r="B7" s="13"/>
      <c r="C7" s="13"/>
      <c r="D7" s="13"/>
      <c r="E7" s="13"/>
      <c r="F7" s="13"/>
      <c r="G7" s="13"/>
      <c r="I7" s="14" t="s">
        <v>126</v>
      </c>
      <c r="J7" s="14"/>
      <c r="K7" s="14"/>
      <c r="L7" s="14"/>
    </row>
    <row r="8" spans="1:12" x14ac:dyDescent="0.25">
      <c r="A8" s="13" t="s">
        <v>127</v>
      </c>
      <c r="B8" s="13"/>
      <c r="C8" s="13"/>
      <c r="D8" s="13"/>
      <c r="E8" s="13"/>
      <c r="F8" s="13"/>
      <c r="G8" s="13"/>
      <c r="I8" s="14" t="s">
        <v>128</v>
      </c>
      <c r="J8" s="14"/>
      <c r="K8" s="14"/>
      <c r="L8" s="14"/>
    </row>
    <row r="9" spans="1:12" x14ac:dyDescent="0.25">
      <c r="C9" t="s">
        <v>86</v>
      </c>
      <c r="D9" t="s">
        <v>23</v>
      </c>
      <c r="I9" s="14" t="s">
        <v>129</v>
      </c>
      <c r="J9" s="14"/>
      <c r="K9" s="14"/>
      <c r="L9" s="14"/>
    </row>
    <row r="10" spans="1:12" x14ac:dyDescent="0.25">
      <c r="A10" t="s">
        <v>130</v>
      </c>
      <c r="B10" t="s">
        <v>131</v>
      </c>
      <c r="C10" t="s">
        <v>132</v>
      </c>
      <c r="D10" t="s">
        <v>133</v>
      </c>
      <c r="G10" t="s">
        <v>71</v>
      </c>
      <c r="H10">
        <f>AVERAGE(A11:A103)</f>
        <v>75.41935483870968</v>
      </c>
      <c r="I10" s="14" t="s">
        <v>134</v>
      </c>
      <c r="J10" s="14"/>
      <c r="K10" s="14"/>
      <c r="L10" s="14"/>
    </row>
    <row r="11" spans="1:12" x14ac:dyDescent="0.25">
      <c r="A11">
        <v>83</v>
      </c>
      <c r="B11">
        <f>A11+5</f>
        <v>88</v>
      </c>
      <c r="C11">
        <f>(A11-H$10)/H$11</f>
        <v>0.86768064285698554</v>
      </c>
      <c r="D11">
        <f>(B11-H$13)/H$14</f>
        <v>0.86768064285698554</v>
      </c>
      <c r="G11" t="s">
        <v>93</v>
      </c>
      <c r="H11">
        <f>_xlfn.STDEV.P(A11:A103)</f>
        <v>8.7366765914354865</v>
      </c>
      <c r="I11" s="14" t="s">
        <v>135</v>
      </c>
      <c r="J11" s="14"/>
      <c r="K11" s="14"/>
      <c r="L11" s="14"/>
    </row>
    <row r="12" spans="1:12" x14ac:dyDescent="0.25">
      <c r="A12">
        <v>81</v>
      </c>
      <c r="B12">
        <f t="shared" ref="B12:B75" si="0">A12+5</f>
        <v>86</v>
      </c>
      <c r="C12">
        <f t="shared" ref="C12:C75" si="1">(A12-H$10)/H$11</f>
        <v>0.63876064346492978</v>
      </c>
      <c r="D12">
        <f t="shared" ref="D12:D75" si="2">(B12-H$13)/H$14</f>
        <v>0.63876064346492978</v>
      </c>
      <c r="I12" s="14" t="s">
        <v>136</v>
      </c>
      <c r="J12" s="14"/>
      <c r="K12" s="14"/>
      <c r="L12" s="14"/>
    </row>
    <row r="13" spans="1:12" x14ac:dyDescent="0.25">
      <c r="A13">
        <v>76</v>
      </c>
      <c r="B13">
        <f t="shared" si="0"/>
        <v>81</v>
      </c>
      <c r="C13">
        <f t="shared" si="1"/>
        <v>6.6460644984790138E-2</v>
      </c>
      <c r="D13">
        <f t="shared" si="2"/>
        <v>6.6460644984790138E-2</v>
      </c>
      <c r="G13" t="s">
        <v>137</v>
      </c>
      <c r="H13">
        <f>AVERAGE(B11:B103)</f>
        <v>80.41935483870968</v>
      </c>
    </row>
    <row r="14" spans="1:12" x14ac:dyDescent="0.25">
      <c r="A14">
        <v>82</v>
      </c>
      <c r="B14">
        <f t="shared" si="0"/>
        <v>87</v>
      </c>
      <c r="C14">
        <f t="shared" si="1"/>
        <v>0.7532206431609576</v>
      </c>
      <c r="D14">
        <f t="shared" si="2"/>
        <v>0.7532206431609576</v>
      </c>
      <c r="G14" t="s">
        <v>138</v>
      </c>
      <c r="H14">
        <f>_xlfn.STDEV.P(B11:B103)</f>
        <v>8.7366765914354865</v>
      </c>
      <c r="I14" s="15" t="s">
        <v>139</v>
      </c>
      <c r="J14" s="15"/>
      <c r="K14" s="15"/>
      <c r="L14" s="15"/>
    </row>
    <row r="15" spans="1:12" x14ac:dyDescent="0.25">
      <c r="A15">
        <v>69</v>
      </c>
      <c r="B15">
        <f t="shared" si="0"/>
        <v>74</v>
      </c>
      <c r="C15">
        <f t="shared" si="1"/>
        <v>-0.73475935288740524</v>
      </c>
      <c r="D15">
        <f t="shared" si="2"/>
        <v>-0.73475935288740524</v>
      </c>
      <c r="I15" s="15" t="s">
        <v>140</v>
      </c>
      <c r="J15" s="15"/>
      <c r="K15" s="15"/>
      <c r="L15" s="15"/>
    </row>
    <row r="16" spans="1:12" x14ac:dyDescent="0.25">
      <c r="A16">
        <v>67</v>
      </c>
      <c r="B16">
        <f t="shared" si="0"/>
        <v>72</v>
      </c>
      <c r="C16">
        <f t="shared" si="1"/>
        <v>-0.96367935227946111</v>
      </c>
      <c r="D16">
        <f t="shared" si="2"/>
        <v>-0.96367935227946111</v>
      </c>
      <c r="I16" s="15" t="s">
        <v>141</v>
      </c>
      <c r="J16" s="15"/>
      <c r="K16" s="15"/>
      <c r="L16" s="15"/>
    </row>
    <row r="17" spans="1:13" x14ac:dyDescent="0.25">
      <c r="A17">
        <v>75</v>
      </c>
      <c r="B17">
        <f t="shared" si="0"/>
        <v>80</v>
      </c>
      <c r="C17">
        <f t="shared" si="1"/>
        <v>-4.7999354711237778E-2</v>
      </c>
      <c r="D17">
        <f t="shared" si="2"/>
        <v>-4.7999354711237778E-2</v>
      </c>
      <c r="I17" s="15" t="s">
        <v>142</v>
      </c>
      <c r="J17" s="15"/>
      <c r="K17" s="15"/>
      <c r="L17" s="15"/>
    </row>
    <row r="18" spans="1:13" x14ac:dyDescent="0.25">
      <c r="A18">
        <v>68</v>
      </c>
      <c r="B18">
        <f t="shared" si="0"/>
        <v>73</v>
      </c>
      <c r="C18">
        <f t="shared" si="1"/>
        <v>-0.84921935258343317</v>
      </c>
      <c r="D18">
        <f t="shared" si="2"/>
        <v>-0.84921935258343317</v>
      </c>
      <c r="I18" s="15" t="s">
        <v>143</v>
      </c>
      <c r="J18" s="15"/>
      <c r="K18" s="15"/>
      <c r="L18" s="15"/>
    </row>
    <row r="19" spans="1:13" x14ac:dyDescent="0.25">
      <c r="A19">
        <v>80</v>
      </c>
      <c r="B19">
        <f t="shared" si="0"/>
        <v>85</v>
      </c>
      <c r="C19">
        <f t="shared" si="1"/>
        <v>0.52430064376890184</v>
      </c>
      <c r="D19">
        <f t="shared" si="2"/>
        <v>0.52430064376890184</v>
      </c>
      <c r="I19" s="15" t="s">
        <v>145</v>
      </c>
      <c r="J19" s="15"/>
      <c r="K19" s="15"/>
      <c r="L19" s="15"/>
    </row>
    <row r="20" spans="1:13" x14ac:dyDescent="0.25">
      <c r="A20">
        <v>64</v>
      </c>
      <c r="B20">
        <f t="shared" si="0"/>
        <v>69</v>
      </c>
      <c r="C20">
        <f t="shared" si="1"/>
        <v>-1.3070593513675448</v>
      </c>
      <c r="D20">
        <f t="shared" si="2"/>
        <v>-1.3070593513675448</v>
      </c>
      <c r="G20" t="s">
        <v>151</v>
      </c>
      <c r="I20" s="15" t="s">
        <v>146</v>
      </c>
      <c r="J20" s="15"/>
      <c r="K20" s="15"/>
      <c r="L20" s="15"/>
    </row>
    <row r="21" spans="1:13" x14ac:dyDescent="0.25">
      <c r="A21">
        <v>57</v>
      </c>
      <c r="B21">
        <f t="shared" si="0"/>
        <v>62</v>
      </c>
      <c r="C21">
        <f t="shared" si="1"/>
        <v>-2.1082793492397403</v>
      </c>
      <c r="D21">
        <f t="shared" si="2"/>
        <v>-2.1082793492397403</v>
      </c>
      <c r="G21" t="s">
        <v>144</v>
      </c>
      <c r="I21" s="15" t="s">
        <v>147</v>
      </c>
      <c r="J21" s="15"/>
      <c r="K21" s="15"/>
      <c r="L21" s="15"/>
    </row>
    <row r="22" spans="1:13" x14ac:dyDescent="0.25">
      <c r="A22">
        <v>78</v>
      </c>
      <c r="B22">
        <f t="shared" si="0"/>
        <v>83</v>
      </c>
      <c r="C22">
        <f t="shared" si="1"/>
        <v>0.29538064437684597</v>
      </c>
      <c r="D22">
        <f t="shared" si="2"/>
        <v>0.29538064437684597</v>
      </c>
      <c r="I22" s="15" t="s">
        <v>148</v>
      </c>
      <c r="J22" s="15"/>
      <c r="K22" s="15"/>
      <c r="L22" s="15"/>
      <c r="M22" s="15"/>
    </row>
    <row r="23" spans="1:13" x14ac:dyDescent="0.25">
      <c r="A23">
        <v>78</v>
      </c>
      <c r="B23">
        <f t="shared" si="0"/>
        <v>83</v>
      </c>
      <c r="C23">
        <f t="shared" si="1"/>
        <v>0.29538064437684597</v>
      </c>
      <c r="D23">
        <f t="shared" si="2"/>
        <v>0.29538064437684597</v>
      </c>
      <c r="G23" t="s">
        <v>149</v>
      </c>
      <c r="H23">
        <v>1.5</v>
      </c>
      <c r="I23" s="19" t="s">
        <v>24</v>
      </c>
    </row>
    <row r="24" spans="1:13" x14ac:dyDescent="0.25">
      <c r="A24">
        <v>60</v>
      </c>
      <c r="B24">
        <f t="shared" si="0"/>
        <v>65</v>
      </c>
      <c r="C24">
        <f t="shared" si="1"/>
        <v>-1.7648993501516566</v>
      </c>
      <c r="D24">
        <f t="shared" si="2"/>
        <v>-1.7648993501516566</v>
      </c>
      <c r="G24" t="s">
        <v>71</v>
      </c>
      <c r="H24">
        <v>75</v>
      </c>
      <c r="I24" s="19"/>
    </row>
    <row r="25" spans="1:13" x14ac:dyDescent="0.25">
      <c r="A25">
        <v>74</v>
      </c>
      <c r="B25">
        <f t="shared" si="0"/>
        <v>79</v>
      </c>
      <c r="C25">
        <f t="shared" si="1"/>
        <v>-0.16245935440726569</v>
      </c>
      <c r="D25">
        <f t="shared" si="2"/>
        <v>-0.16245935440726569</v>
      </c>
      <c r="G25" t="s">
        <v>72</v>
      </c>
      <c r="H25">
        <v>8</v>
      </c>
      <c r="I25" s="19"/>
    </row>
    <row r="26" spans="1:13" x14ac:dyDescent="0.25">
      <c r="A26">
        <v>84</v>
      </c>
      <c r="B26">
        <f t="shared" si="0"/>
        <v>89</v>
      </c>
      <c r="C26">
        <f t="shared" si="1"/>
        <v>0.98214064255301348</v>
      </c>
      <c r="D26">
        <f t="shared" si="2"/>
        <v>0.98214064255301348</v>
      </c>
      <c r="G26" t="s">
        <v>150</v>
      </c>
      <c r="H26">
        <f>H23*H25+H24</f>
        <v>87</v>
      </c>
      <c r="I26" s="19"/>
    </row>
    <row r="27" spans="1:13" x14ac:dyDescent="0.25">
      <c r="A27">
        <v>79</v>
      </c>
      <c r="B27">
        <f t="shared" si="0"/>
        <v>84</v>
      </c>
      <c r="C27">
        <f t="shared" si="1"/>
        <v>0.40984064407287391</v>
      </c>
      <c r="D27">
        <f t="shared" si="2"/>
        <v>0.40984064407287391</v>
      </c>
    </row>
    <row r="28" spans="1:13" x14ac:dyDescent="0.25">
      <c r="A28">
        <v>77</v>
      </c>
      <c r="B28">
        <f t="shared" si="0"/>
        <v>82</v>
      </c>
      <c r="C28">
        <f t="shared" si="1"/>
        <v>0.18092064468081806</v>
      </c>
      <c r="D28">
        <f t="shared" si="2"/>
        <v>0.18092064468081806</v>
      </c>
    </row>
    <row r="29" spans="1:13" x14ac:dyDescent="0.25">
      <c r="A29">
        <v>73</v>
      </c>
      <c r="B29">
        <f t="shared" si="0"/>
        <v>78</v>
      </c>
      <c r="C29">
        <f t="shared" si="1"/>
        <v>-0.2769193541032936</v>
      </c>
      <c r="D29">
        <f t="shared" si="2"/>
        <v>-0.2769193541032936</v>
      </c>
    </row>
    <row r="30" spans="1:13" x14ac:dyDescent="0.25">
      <c r="A30">
        <v>73</v>
      </c>
      <c r="B30">
        <f t="shared" si="0"/>
        <v>78</v>
      </c>
      <c r="C30">
        <f t="shared" si="1"/>
        <v>-0.2769193541032936</v>
      </c>
      <c r="D30">
        <f t="shared" si="2"/>
        <v>-0.2769193541032936</v>
      </c>
    </row>
    <row r="31" spans="1:13" x14ac:dyDescent="0.25">
      <c r="A31">
        <v>72</v>
      </c>
      <c r="B31">
        <f t="shared" si="0"/>
        <v>77</v>
      </c>
      <c r="C31">
        <f t="shared" si="1"/>
        <v>-0.39137935379932154</v>
      </c>
      <c r="D31">
        <f t="shared" si="2"/>
        <v>-0.39137935379932154</v>
      </c>
    </row>
    <row r="32" spans="1:13" x14ac:dyDescent="0.25">
      <c r="A32">
        <v>80</v>
      </c>
      <c r="B32">
        <f t="shared" si="0"/>
        <v>85</v>
      </c>
      <c r="C32">
        <f t="shared" si="1"/>
        <v>0.52430064376890184</v>
      </c>
      <c r="D32">
        <f t="shared" si="2"/>
        <v>0.52430064376890184</v>
      </c>
    </row>
    <row r="33" spans="1:4" x14ac:dyDescent="0.25">
      <c r="A33">
        <v>92</v>
      </c>
      <c r="B33">
        <f t="shared" si="0"/>
        <v>97</v>
      </c>
      <c r="C33">
        <f t="shared" si="1"/>
        <v>1.8978206401212367</v>
      </c>
      <c r="D33">
        <f t="shared" si="2"/>
        <v>1.8978206401212367</v>
      </c>
    </row>
    <row r="34" spans="1:4" x14ac:dyDescent="0.25">
      <c r="A34">
        <v>81</v>
      </c>
      <c r="B34">
        <f t="shared" si="0"/>
        <v>86</v>
      </c>
      <c r="C34">
        <f t="shared" si="1"/>
        <v>0.63876064346492978</v>
      </c>
      <c r="D34">
        <f t="shared" si="2"/>
        <v>0.63876064346492978</v>
      </c>
    </row>
    <row r="35" spans="1:4" x14ac:dyDescent="0.25">
      <c r="A35">
        <v>80</v>
      </c>
      <c r="B35">
        <f t="shared" si="0"/>
        <v>85</v>
      </c>
      <c r="C35">
        <f t="shared" si="1"/>
        <v>0.52430064376890184</v>
      </c>
      <c r="D35">
        <f t="shared" si="2"/>
        <v>0.52430064376890184</v>
      </c>
    </row>
    <row r="36" spans="1:4" x14ac:dyDescent="0.25">
      <c r="A36">
        <v>79</v>
      </c>
      <c r="B36">
        <f t="shared" si="0"/>
        <v>84</v>
      </c>
      <c r="C36">
        <f t="shared" si="1"/>
        <v>0.40984064407287391</v>
      </c>
      <c r="D36">
        <f t="shared" si="2"/>
        <v>0.40984064407287391</v>
      </c>
    </row>
    <row r="37" spans="1:4" x14ac:dyDescent="0.25">
      <c r="A37">
        <v>74</v>
      </c>
      <c r="B37">
        <f t="shared" si="0"/>
        <v>79</v>
      </c>
      <c r="C37">
        <f t="shared" si="1"/>
        <v>-0.16245935440726569</v>
      </c>
      <c r="D37">
        <f t="shared" si="2"/>
        <v>-0.16245935440726569</v>
      </c>
    </row>
    <row r="38" spans="1:4" x14ac:dyDescent="0.25">
      <c r="A38">
        <v>70</v>
      </c>
      <c r="B38">
        <f t="shared" si="0"/>
        <v>75</v>
      </c>
      <c r="C38">
        <f t="shared" si="1"/>
        <v>-0.62029935319137741</v>
      </c>
      <c r="D38">
        <f t="shared" si="2"/>
        <v>-0.62029935319137741</v>
      </c>
    </row>
    <row r="39" spans="1:4" x14ac:dyDescent="0.25">
      <c r="A39">
        <v>67</v>
      </c>
      <c r="B39">
        <f t="shared" si="0"/>
        <v>72</v>
      </c>
      <c r="C39">
        <f t="shared" si="1"/>
        <v>-0.96367935227946111</v>
      </c>
      <c r="D39">
        <f t="shared" si="2"/>
        <v>-0.96367935227946111</v>
      </c>
    </row>
    <row r="40" spans="1:4" x14ac:dyDescent="0.25">
      <c r="A40">
        <v>75</v>
      </c>
      <c r="B40">
        <f t="shared" si="0"/>
        <v>80</v>
      </c>
      <c r="C40">
        <f t="shared" si="1"/>
        <v>-4.7999354711237778E-2</v>
      </c>
      <c r="D40">
        <f t="shared" si="2"/>
        <v>-4.7999354711237778E-2</v>
      </c>
    </row>
    <row r="41" spans="1:4" x14ac:dyDescent="0.25">
      <c r="A41">
        <v>73</v>
      </c>
      <c r="B41">
        <f t="shared" si="0"/>
        <v>78</v>
      </c>
      <c r="C41">
        <f t="shared" si="1"/>
        <v>-0.2769193541032936</v>
      </c>
      <c r="D41">
        <f t="shared" si="2"/>
        <v>-0.2769193541032936</v>
      </c>
    </row>
    <row r="42" spans="1:4" x14ac:dyDescent="0.25">
      <c r="A42">
        <v>82</v>
      </c>
      <c r="B42">
        <f t="shared" si="0"/>
        <v>87</v>
      </c>
      <c r="C42">
        <f t="shared" si="1"/>
        <v>0.7532206431609576</v>
      </c>
      <c r="D42">
        <f t="shared" si="2"/>
        <v>0.7532206431609576</v>
      </c>
    </row>
    <row r="43" spans="1:4" x14ac:dyDescent="0.25">
      <c r="A43">
        <v>75</v>
      </c>
      <c r="B43">
        <f t="shared" si="0"/>
        <v>80</v>
      </c>
      <c r="C43">
        <f t="shared" si="1"/>
        <v>-4.7999354711237778E-2</v>
      </c>
      <c r="D43">
        <f t="shared" si="2"/>
        <v>-4.7999354711237778E-2</v>
      </c>
    </row>
    <row r="44" spans="1:4" x14ac:dyDescent="0.25">
      <c r="A44">
        <v>74</v>
      </c>
      <c r="B44">
        <f t="shared" si="0"/>
        <v>79</v>
      </c>
      <c r="C44">
        <f t="shared" si="1"/>
        <v>-0.16245935440726569</v>
      </c>
      <c r="D44">
        <f t="shared" si="2"/>
        <v>-0.16245935440726569</v>
      </c>
    </row>
    <row r="45" spans="1:4" x14ac:dyDescent="0.25">
      <c r="A45">
        <v>71</v>
      </c>
      <c r="B45">
        <f t="shared" si="0"/>
        <v>76</v>
      </c>
      <c r="C45">
        <f t="shared" si="1"/>
        <v>-0.50583935349534948</v>
      </c>
      <c r="D45">
        <f t="shared" si="2"/>
        <v>-0.50583935349534948</v>
      </c>
    </row>
    <row r="46" spans="1:4" x14ac:dyDescent="0.25">
      <c r="A46">
        <v>75</v>
      </c>
      <c r="B46">
        <f t="shared" si="0"/>
        <v>80</v>
      </c>
      <c r="C46">
        <f t="shared" si="1"/>
        <v>-4.7999354711237778E-2</v>
      </c>
      <c r="D46">
        <f t="shared" si="2"/>
        <v>-4.7999354711237778E-2</v>
      </c>
    </row>
    <row r="47" spans="1:4" x14ac:dyDescent="0.25">
      <c r="A47">
        <v>79</v>
      </c>
      <c r="B47">
        <f t="shared" si="0"/>
        <v>84</v>
      </c>
      <c r="C47">
        <f t="shared" si="1"/>
        <v>0.40984064407287391</v>
      </c>
      <c r="D47">
        <f t="shared" si="2"/>
        <v>0.40984064407287391</v>
      </c>
    </row>
    <row r="48" spans="1:4" x14ac:dyDescent="0.25">
      <c r="A48">
        <v>64</v>
      </c>
      <c r="B48">
        <f t="shared" si="0"/>
        <v>69</v>
      </c>
      <c r="C48">
        <f t="shared" si="1"/>
        <v>-1.3070593513675448</v>
      </c>
      <c r="D48">
        <f t="shared" si="2"/>
        <v>-1.3070593513675448</v>
      </c>
    </row>
    <row r="49" spans="1:4" x14ac:dyDescent="0.25">
      <c r="A49">
        <v>63</v>
      </c>
      <c r="B49">
        <f t="shared" si="0"/>
        <v>68</v>
      </c>
      <c r="C49">
        <f t="shared" si="1"/>
        <v>-1.4215193510635729</v>
      </c>
      <c r="D49">
        <f t="shared" si="2"/>
        <v>-1.4215193510635729</v>
      </c>
    </row>
    <row r="50" spans="1:4" x14ac:dyDescent="0.25">
      <c r="A50">
        <v>52</v>
      </c>
      <c r="B50">
        <f t="shared" si="0"/>
        <v>57</v>
      </c>
      <c r="C50">
        <f t="shared" si="1"/>
        <v>-2.6805793477198798</v>
      </c>
      <c r="D50">
        <f t="shared" si="2"/>
        <v>-2.6805793477198798</v>
      </c>
    </row>
    <row r="51" spans="1:4" x14ac:dyDescent="0.25">
      <c r="A51">
        <v>71</v>
      </c>
      <c r="B51">
        <f t="shared" si="0"/>
        <v>76</v>
      </c>
      <c r="C51">
        <f t="shared" si="1"/>
        <v>-0.50583935349534948</v>
      </c>
      <c r="D51">
        <f t="shared" si="2"/>
        <v>-0.50583935349534948</v>
      </c>
    </row>
    <row r="52" spans="1:4" x14ac:dyDescent="0.25">
      <c r="A52">
        <v>83</v>
      </c>
      <c r="B52">
        <f t="shared" si="0"/>
        <v>88</v>
      </c>
      <c r="C52">
        <f t="shared" si="1"/>
        <v>0.86768064285698554</v>
      </c>
      <c r="D52">
        <f t="shared" si="2"/>
        <v>0.86768064285698554</v>
      </c>
    </row>
    <row r="53" spans="1:4" x14ac:dyDescent="0.25">
      <c r="A53">
        <v>75</v>
      </c>
      <c r="B53">
        <f t="shared" si="0"/>
        <v>80</v>
      </c>
      <c r="C53">
        <f t="shared" si="1"/>
        <v>-4.7999354711237778E-2</v>
      </c>
      <c r="D53">
        <f t="shared" si="2"/>
        <v>-4.7999354711237778E-2</v>
      </c>
    </row>
    <row r="54" spans="1:4" x14ac:dyDescent="0.25">
      <c r="A54">
        <v>90</v>
      </c>
      <c r="B54">
        <f t="shared" si="0"/>
        <v>95</v>
      </c>
      <c r="C54">
        <f t="shared" si="1"/>
        <v>1.6689006407291809</v>
      </c>
      <c r="D54">
        <f t="shared" si="2"/>
        <v>1.6689006407291809</v>
      </c>
    </row>
    <row r="55" spans="1:4" x14ac:dyDescent="0.25">
      <c r="A55">
        <v>89</v>
      </c>
      <c r="B55">
        <f t="shared" si="0"/>
        <v>94</v>
      </c>
      <c r="C55">
        <f t="shared" si="1"/>
        <v>1.554440641033153</v>
      </c>
      <c r="D55">
        <f t="shared" si="2"/>
        <v>1.554440641033153</v>
      </c>
    </row>
    <row r="56" spans="1:4" x14ac:dyDescent="0.25">
      <c r="A56">
        <v>67</v>
      </c>
      <c r="B56">
        <f t="shared" si="0"/>
        <v>72</v>
      </c>
      <c r="C56">
        <f t="shared" si="1"/>
        <v>-0.96367935227946111</v>
      </c>
      <c r="D56">
        <f t="shared" si="2"/>
        <v>-0.96367935227946111</v>
      </c>
    </row>
    <row r="57" spans="1:4" x14ac:dyDescent="0.25">
      <c r="A57">
        <v>81</v>
      </c>
      <c r="B57">
        <f t="shared" si="0"/>
        <v>86</v>
      </c>
      <c r="C57">
        <f t="shared" si="1"/>
        <v>0.63876064346492978</v>
      </c>
      <c r="D57">
        <f t="shared" si="2"/>
        <v>0.63876064346492978</v>
      </c>
    </row>
    <row r="58" spans="1:4" x14ac:dyDescent="0.25">
      <c r="A58">
        <v>84</v>
      </c>
      <c r="B58">
        <f t="shared" si="0"/>
        <v>89</v>
      </c>
      <c r="C58">
        <f t="shared" si="1"/>
        <v>0.98214064255301348</v>
      </c>
      <c r="D58">
        <f t="shared" si="2"/>
        <v>0.98214064255301348</v>
      </c>
    </row>
    <row r="59" spans="1:4" x14ac:dyDescent="0.25">
      <c r="A59">
        <v>80</v>
      </c>
      <c r="B59">
        <f t="shared" si="0"/>
        <v>85</v>
      </c>
      <c r="C59">
        <f t="shared" si="1"/>
        <v>0.52430064376890184</v>
      </c>
      <c r="D59">
        <f t="shared" si="2"/>
        <v>0.52430064376890184</v>
      </c>
    </row>
    <row r="60" spans="1:4" x14ac:dyDescent="0.25">
      <c r="A60">
        <v>73</v>
      </c>
      <c r="B60">
        <f t="shared" si="0"/>
        <v>78</v>
      </c>
      <c r="C60">
        <f t="shared" si="1"/>
        <v>-0.2769193541032936</v>
      </c>
      <c r="D60">
        <f t="shared" si="2"/>
        <v>-0.2769193541032936</v>
      </c>
    </row>
    <row r="61" spans="1:4" x14ac:dyDescent="0.25">
      <c r="A61">
        <v>70</v>
      </c>
      <c r="B61">
        <f t="shared" si="0"/>
        <v>75</v>
      </c>
      <c r="C61">
        <f t="shared" si="1"/>
        <v>-0.62029935319137741</v>
      </c>
      <c r="D61">
        <f t="shared" si="2"/>
        <v>-0.62029935319137741</v>
      </c>
    </row>
    <row r="62" spans="1:4" x14ac:dyDescent="0.25">
      <c r="A62">
        <v>74</v>
      </c>
      <c r="B62">
        <f t="shared" si="0"/>
        <v>79</v>
      </c>
      <c r="C62">
        <f t="shared" si="1"/>
        <v>-0.16245935440726569</v>
      </c>
      <c r="D62">
        <f t="shared" si="2"/>
        <v>-0.16245935440726569</v>
      </c>
    </row>
    <row r="63" spans="1:4" x14ac:dyDescent="0.25">
      <c r="A63">
        <v>84</v>
      </c>
      <c r="B63">
        <f t="shared" si="0"/>
        <v>89</v>
      </c>
      <c r="C63">
        <f t="shared" si="1"/>
        <v>0.98214064255301348</v>
      </c>
      <c r="D63">
        <f t="shared" si="2"/>
        <v>0.98214064255301348</v>
      </c>
    </row>
    <row r="64" spans="1:4" x14ac:dyDescent="0.25">
      <c r="A64">
        <v>80</v>
      </c>
      <c r="B64">
        <f t="shared" si="0"/>
        <v>85</v>
      </c>
      <c r="C64">
        <f t="shared" si="1"/>
        <v>0.52430064376890184</v>
      </c>
      <c r="D64">
        <f t="shared" si="2"/>
        <v>0.52430064376890184</v>
      </c>
    </row>
    <row r="65" spans="1:4" x14ac:dyDescent="0.25">
      <c r="A65">
        <v>78</v>
      </c>
      <c r="B65">
        <f t="shared" si="0"/>
        <v>83</v>
      </c>
      <c r="C65">
        <f t="shared" si="1"/>
        <v>0.29538064437684597</v>
      </c>
      <c r="D65">
        <f t="shared" si="2"/>
        <v>0.29538064437684597</v>
      </c>
    </row>
    <row r="66" spans="1:4" x14ac:dyDescent="0.25">
      <c r="A66">
        <v>63</v>
      </c>
      <c r="B66">
        <f t="shared" si="0"/>
        <v>68</v>
      </c>
      <c r="C66">
        <f t="shared" si="1"/>
        <v>-1.4215193510635729</v>
      </c>
      <c r="D66">
        <f t="shared" si="2"/>
        <v>-1.4215193510635729</v>
      </c>
    </row>
    <row r="67" spans="1:4" x14ac:dyDescent="0.25">
      <c r="A67">
        <v>100</v>
      </c>
      <c r="B67">
        <f t="shared" si="0"/>
        <v>105</v>
      </c>
      <c r="C67">
        <f t="shared" si="1"/>
        <v>2.8135006376894602</v>
      </c>
      <c r="D67">
        <f t="shared" si="2"/>
        <v>2.8135006376894602</v>
      </c>
    </row>
    <row r="68" spans="1:4" x14ac:dyDescent="0.25">
      <c r="A68">
        <v>80</v>
      </c>
      <c r="B68">
        <f t="shared" si="0"/>
        <v>85</v>
      </c>
      <c r="C68">
        <f t="shared" si="1"/>
        <v>0.52430064376890184</v>
      </c>
      <c r="D68">
        <f t="shared" si="2"/>
        <v>0.52430064376890184</v>
      </c>
    </row>
    <row r="69" spans="1:4" x14ac:dyDescent="0.25">
      <c r="A69">
        <v>68</v>
      </c>
      <c r="B69">
        <f t="shared" si="0"/>
        <v>73</v>
      </c>
      <c r="C69">
        <f t="shared" si="1"/>
        <v>-0.84921935258343317</v>
      </c>
      <c r="D69">
        <f t="shared" si="2"/>
        <v>-0.84921935258343317</v>
      </c>
    </row>
    <row r="70" spans="1:4" x14ac:dyDescent="0.25">
      <c r="A70">
        <v>74</v>
      </c>
      <c r="B70">
        <f t="shared" si="0"/>
        <v>79</v>
      </c>
      <c r="C70">
        <f t="shared" si="1"/>
        <v>-0.16245935440726569</v>
      </c>
      <c r="D70">
        <f t="shared" si="2"/>
        <v>-0.16245935440726569</v>
      </c>
    </row>
    <row r="71" spans="1:4" x14ac:dyDescent="0.25">
      <c r="A71">
        <v>65</v>
      </c>
      <c r="B71">
        <f t="shared" si="0"/>
        <v>70</v>
      </c>
      <c r="C71">
        <f t="shared" si="1"/>
        <v>-1.192599351671517</v>
      </c>
      <c r="D71">
        <f t="shared" si="2"/>
        <v>-1.192599351671517</v>
      </c>
    </row>
    <row r="72" spans="1:4" x14ac:dyDescent="0.25">
      <c r="A72">
        <v>85</v>
      </c>
      <c r="B72">
        <f t="shared" si="0"/>
        <v>90</v>
      </c>
      <c r="C72">
        <f t="shared" si="1"/>
        <v>1.0966006422490413</v>
      </c>
      <c r="D72">
        <f t="shared" si="2"/>
        <v>1.0966006422490413</v>
      </c>
    </row>
    <row r="73" spans="1:4" x14ac:dyDescent="0.25">
      <c r="A73">
        <v>60</v>
      </c>
      <c r="B73">
        <f t="shared" si="0"/>
        <v>65</v>
      </c>
      <c r="C73">
        <f t="shared" si="1"/>
        <v>-1.7648993501516566</v>
      </c>
      <c r="D73">
        <f t="shared" si="2"/>
        <v>-1.7648993501516566</v>
      </c>
    </row>
    <row r="74" spans="1:4" x14ac:dyDescent="0.25">
      <c r="A74">
        <v>84</v>
      </c>
      <c r="B74">
        <f t="shared" si="0"/>
        <v>89</v>
      </c>
      <c r="C74">
        <f t="shared" si="1"/>
        <v>0.98214064255301348</v>
      </c>
      <c r="D74">
        <f t="shared" si="2"/>
        <v>0.98214064255301348</v>
      </c>
    </row>
    <row r="75" spans="1:4" x14ac:dyDescent="0.25">
      <c r="A75">
        <v>87</v>
      </c>
      <c r="B75">
        <f t="shared" si="0"/>
        <v>92</v>
      </c>
      <c r="C75">
        <f t="shared" si="1"/>
        <v>1.3255206416410972</v>
      </c>
      <c r="D75">
        <f t="shared" si="2"/>
        <v>1.3255206416410972</v>
      </c>
    </row>
    <row r="76" spans="1:4" x14ac:dyDescent="0.25">
      <c r="A76">
        <v>82</v>
      </c>
      <c r="B76">
        <f t="shared" ref="B76:B103" si="3">A76+5</f>
        <v>87</v>
      </c>
      <c r="C76">
        <f t="shared" ref="C76:C103" si="4">(A76-H$10)/H$11</f>
        <v>0.7532206431609576</v>
      </c>
      <c r="D76">
        <f t="shared" ref="D76:D103" si="5">(B76-H$13)/H$14</f>
        <v>0.7532206431609576</v>
      </c>
    </row>
    <row r="77" spans="1:4" x14ac:dyDescent="0.25">
      <c r="A77">
        <v>81</v>
      </c>
      <c r="B77">
        <f t="shared" si="3"/>
        <v>86</v>
      </c>
      <c r="C77">
        <f t="shared" si="4"/>
        <v>0.63876064346492978</v>
      </c>
      <c r="D77">
        <f t="shared" si="5"/>
        <v>0.63876064346492978</v>
      </c>
    </row>
    <row r="78" spans="1:4" x14ac:dyDescent="0.25">
      <c r="A78">
        <v>69</v>
      </c>
      <c r="B78">
        <f t="shared" si="3"/>
        <v>74</v>
      </c>
      <c r="C78">
        <f t="shared" si="4"/>
        <v>-0.73475935288740524</v>
      </c>
      <c r="D78">
        <f t="shared" si="5"/>
        <v>-0.73475935288740524</v>
      </c>
    </row>
    <row r="79" spans="1:4" x14ac:dyDescent="0.25">
      <c r="A79">
        <v>68</v>
      </c>
      <c r="B79">
        <f t="shared" si="3"/>
        <v>73</v>
      </c>
      <c r="C79">
        <f t="shared" si="4"/>
        <v>-0.84921935258343317</v>
      </c>
      <c r="D79">
        <f t="shared" si="5"/>
        <v>-0.84921935258343317</v>
      </c>
    </row>
    <row r="80" spans="1:4" x14ac:dyDescent="0.25">
      <c r="A80">
        <v>79</v>
      </c>
      <c r="B80">
        <f t="shared" si="3"/>
        <v>84</v>
      </c>
      <c r="C80">
        <f t="shared" si="4"/>
        <v>0.40984064407287391</v>
      </c>
      <c r="D80">
        <f t="shared" si="5"/>
        <v>0.40984064407287391</v>
      </c>
    </row>
    <row r="81" spans="1:4" x14ac:dyDescent="0.25">
      <c r="A81">
        <v>80</v>
      </c>
      <c r="B81">
        <f t="shared" si="3"/>
        <v>85</v>
      </c>
      <c r="C81">
        <f t="shared" si="4"/>
        <v>0.52430064376890184</v>
      </c>
      <c r="D81">
        <f t="shared" si="5"/>
        <v>0.52430064376890184</v>
      </c>
    </row>
    <row r="82" spans="1:4" x14ac:dyDescent="0.25">
      <c r="A82">
        <v>62</v>
      </c>
      <c r="B82">
        <f t="shared" si="3"/>
        <v>67</v>
      </c>
      <c r="C82">
        <f t="shared" si="4"/>
        <v>-1.5359793507596007</v>
      </c>
      <c r="D82">
        <f t="shared" si="5"/>
        <v>-1.5359793507596007</v>
      </c>
    </row>
    <row r="83" spans="1:4" x14ac:dyDescent="0.25">
      <c r="A83">
        <v>71</v>
      </c>
      <c r="B83">
        <f t="shared" si="3"/>
        <v>76</v>
      </c>
      <c r="C83">
        <f t="shared" si="4"/>
        <v>-0.50583935349534948</v>
      </c>
      <c r="D83">
        <f t="shared" si="5"/>
        <v>-0.50583935349534948</v>
      </c>
    </row>
    <row r="84" spans="1:4" x14ac:dyDescent="0.25">
      <c r="A84">
        <v>74</v>
      </c>
      <c r="B84">
        <f t="shared" si="3"/>
        <v>79</v>
      </c>
      <c r="C84">
        <f t="shared" si="4"/>
        <v>-0.16245935440726569</v>
      </c>
      <c r="D84">
        <f t="shared" si="5"/>
        <v>-0.16245935440726569</v>
      </c>
    </row>
    <row r="85" spans="1:4" x14ac:dyDescent="0.25">
      <c r="A85">
        <v>83</v>
      </c>
      <c r="B85">
        <f t="shared" si="3"/>
        <v>88</v>
      </c>
      <c r="C85">
        <f t="shared" si="4"/>
        <v>0.86768064285698554</v>
      </c>
      <c r="D85">
        <f t="shared" si="5"/>
        <v>0.86768064285698554</v>
      </c>
    </row>
    <row r="86" spans="1:4" x14ac:dyDescent="0.25">
      <c r="A86">
        <v>76</v>
      </c>
      <c r="B86">
        <f t="shared" si="3"/>
        <v>81</v>
      </c>
      <c r="C86">
        <f t="shared" si="4"/>
        <v>6.6460644984790138E-2</v>
      </c>
      <c r="D86">
        <f t="shared" si="5"/>
        <v>6.6460644984790138E-2</v>
      </c>
    </row>
    <row r="87" spans="1:4" x14ac:dyDescent="0.25">
      <c r="A87">
        <v>86</v>
      </c>
      <c r="B87">
        <f t="shared" si="3"/>
        <v>91</v>
      </c>
      <c r="C87">
        <f t="shared" si="4"/>
        <v>1.2110606419450693</v>
      </c>
      <c r="D87">
        <f t="shared" si="5"/>
        <v>1.2110606419450693</v>
      </c>
    </row>
    <row r="88" spans="1:4" x14ac:dyDescent="0.25">
      <c r="A88">
        <v>83</v>
      </c>
      <c r="B88">
        <f t="shared" si="3"/>
        <v>88</v>
      </c>
      <c r="C88">
        <f t="shared" si="4"/>
        <v>0.86768064285698554</v>
      </c>
      <c r="D88">
        <f t="shared" si="5"/>
        <v>0.86768064285698554</v>
      </c>
    </row>
    <row r="89" spans="1:4" x14ac:dyDescent="0.25">
      <c r="A89">
        <v>79</v>
      </c>
      <c r="B89">
        <f t="shared" si="3"/>
        <v>84</v>
      </c>
      <c r="C89">
        <f t="shared" si="4"/>
        <v>0.40984064407287391</v>
      </c>
      <c r="D89">
        <f t="shared" si="5"/>
        <v>0.40984064407287391</v>
      </c>
    </row>
    <row r="90" spans="1:4" x14ac:dyDescent="0.25">
      <c r="A90">
        <v>80</v>
      </c>
      <c r="B90">
        <f t="shared" si="3"/>
        <v>85</v>
      </c>
      <c r="C90">
        <f t="shared" si="4"/>
        <v>0.52430064376890184</v>
      </c>
      <c r="D90">
        <f t="shared" si="5"/>
        <v>0.52430064376890184</v>
      </c>
    </row>
    <row r="91" spans="1:4" x14ac:dyDescent="0.25">
      <c r="A91">
        <v>80</v>
      </c>
      <c r="B91">
        <f t="shared" si="3"/>
        <v>85</v>
      </c>
      <c r="C91">
        <f t="shared" si="4"/>
        <v>0.52430064376890184</v>
      </c>
      <c r="D91">
        <f t="shared" si="5"/>
        <v>0.52430064376890184</v>
      </c>
    </row>
    <row r="92" spans="1:4" x14ac:dyDescent="0.25">
      <c r="A92">
        <v>95</v>
      </c>
      <c r="B92">
        <f t="shared" si="3"/>
        <v>100</v>
      </c>
      <c r="C92">
        <f t="shared" si="4"/>
        <v>2.2412006392093207</v>
      </c>
      <c r="D92">
        <f t="shared" si="5"/>
        <v>2.2412006392093207</v>
      </c>
    </row>
    <row r="93" spans="1:4" x14ac:dyDescent="0.25">
      <c r="A93">
        <v>84</v>
      </c>
      <c r="B93">
        <f t="shared" si="3"/>
        <v>89</v>
      </c>
      <c r="C93">
        <f t="shared" si="4"/>
        <v>0.98214064255301348</v>
      </c>
      <c r="D93">
        <f t="shared" si="5"/>
        <v>0.98214064255301348</v>
      </c>
    </row>
    <row r="94" spans="1:4" x14ac:dyDescent="0.25">
      <c r="A94">
        <v>66</v>
      </c>
      <c r="B94">
        <f t="shared" si="3"/>
        <v>71</v>
      </c>
      <c r="C94">
        <f t="shared" si="4"/>
        <v>-1.0781393519754889</v>
      </c>
      <c r="D94">
        <f t="shared" si="5"/>
        <v>-1.0781393519754889</v>
      </c>
    </row>
    <row r="95" spans="1:4" x14ac:dyDescent="0.25">
      <c r="A95">
        <v>75</v>
      </c>
      <c r="B95">
        <f t="shared" si="3"/>
        <v>80</v>
      </c>
      <c r="C95">
        <f t="shared" si="4"/>
        <v>-4.7999354711237778E-2</v>
      </c>
      <c r="D95">
        <f t="shared" si="5"/>
        <v>-4.7999354711237778E-2</v>
      </c>
    </row>
    <row r="96" spans="1:4" x14ac:dyDescent="0.25">
      <c r="A96">
        <v>90</v>
      </c>
      <c r="B96">
        <f t="shared" si="3"/>
        <v>95</v>
      </c>
      <c r="C96">
        <f t="shared" si="4"/>
        <v>1.6689006407291809</v>
      </c>
      <c r="D96">
        <f t="shared" si="5"/>
        <v>1.6689006407291809</v>
      </c>
    </row>
    <row r="97" spans="1:4" x14ac:dyDescent="0.25">
      <c r="A97">
        <v>64</v>
      </c>
      <c r="B97">
        <f t="shared" si="3"/>
        <v>69</v>
      </c>
      <c r="C97">
        <f t="shared" si="4"/>
        <v>-1.3070593513675448</v>
      </c>
      <c r="D97">
        <f t="shared" si="5"/>
        <v>-1.3070593513675448</v>
      </c>
    </row>
    <row r="98" spans="1:4" x14ac:dyDescent="0.25">
      <c r="A98">
        <v>77</v>
      </c>
      <c r="B98">
        <f t="shared" si="3"/>
        <v>82</v>
      </c>
      <c r="C98">
        <f t="shared" si="4"/>
        <v>0.18092064468081806</v>
      </c>
      <c r="D98">
        <f t="shared" si="5"/>
        <v>0.18092064468081806</v>
      </c>
    </row>
    <row r="99" spans="1:4" x14ac:dyDescent="0.25">
      <c r="A99">
        <v>61</v>
      </c>
      <c r="B99">
        <f t="shared" si="3"/>
        <v>66</v>
      </c>
      <c r="C99">
        <f t="shared" si="4"/>
        <v>-1.6504393504556285</v>
      </c>
      <c r="D99">
        <f t="shared" si="5"/>
        <v>-1.6504393504556285</v>
      </c>
    </row>
    <row r="100" spans="1:4" x14ac:dyDescent="0.25">
      <c r="A100">
        <v>61</v>
      </c>
      <c r="B100">
        <f t="shared" si="3"/>
        <v>66</v>
      </c>
      <c r="C100">
        <f t="shared" si="4"/>
        <v>-1.6504393504556285</v>
      </c>
      <c r="D100">
        <f t="shared" si="5"/>
        <v>-1.6504393504556285</v>
      </c>
    </row>
    <row r="101" spans="1:4" x14ac:dyDescent="0.25">
      <c r="A101">
        <v>79</v>
      </c>
      <c r="B101">
        <f t="shared" si="3"/>
        <v>84</v>
      </c>
      <c r="C101">
        <f t="shared" si="4"/>
        <v>0.40984064407287391</v>
      </c>
      <c r="D101">
        <f t="shared" si="5"/>
        <v>0.40984064407287391</v>
      </c>
    </row>
    <row r="102" spans="1:4" x14ac:dyDescent="0.25">
      <c r="A102">
        <v>63</v>
      </c>
      <c r="B102">
        <f t="shared" si="3"/>
        <v>68</v>
      </c>
      <c r="C102">
        <f t="shared" si="4"/>
        <v>-1.4215193510635729</v>
      </c>
      <c r="D102">
        <f t="shared" si="5"/>
        <v>-1.4215193510635729</v>
      </c>
    </row>
    <row r="103" spans="1:4" x14ac:dyDescent="0.25">
      <c r="A103">
        <v>65</v>
      </c>
      <c r="B103">
        <f t="shared" si="3"/>
        <v>70</v>
      </c>
      <c r="C103">
        <f t="shared" si="4"/>
        <v>-1.192599351671517</v>
      </c>
      <c r="D103">
        <f t="shared" si="5"/>
        <v>-1.192599351671517</v>
      </c>
    </row>
  </sheetData>
  <mergeCells count="1">
    <mergeCell ref="I23:I26"/>
  </mergeCells>
  <conditionalFormatting sqref="C11:C103">
    <cfRule type="cellIs" dxfId="3" priority="3" operator="lessThan">
      <formula>-2</formula>
    </cfRule>
    <cfRule type="cellIs" dxfId="2" priority="4" operator="greaterThan">
      <formula>2</formula>
    </cfRule>
  </conditionalFormatting>
  <conditionalFormatting sqref="D11:F103">
    <cfRule type="cellIs" dxfId="1" priority="1" operator="lessThan">
      <formula>-2</formula>
    </cfRule>
    <cfRule type="cellIs" dxfId="0" priority="2" operator="greaterThan">
      <formula>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9"/>
  <sheetViews>
    <sheetView topLeftCell="A73" workbookViewId="0">
      <selection activeCell="B65" sqref="B65:D71"/>
    </sheetView>
  </sheetViews>
  <sheetFormatPr defaultRowHeight="15" x14ac:dyDescent="0.25"/>
  <cols>
    <col min="2" max="2" width="38.7109375" style="1" customWidth="1"/>
  </cols>
  <sheetData>
    <row r="1" spans="1:8" x14ac:dyDescent="0.25">
      <c r="A1" s="18" t="s">
        <v>152</v>
      </c>
      <c r="B1" s="18"/>
      <c r="C1" s="18"/>
      <c r="D1" s="18"/>
      <c r="E1" s="18"/>
      <c r="F1" t="s">
        <v>157</v>
      </c>
      <c r="G1" t="s">
        <v>158</v>
      </c>
      <c r="H1" t="s">
        <v>159</v>
      </c>
    </row>
    <row r="2" spans="1:8" x14ac:dyDescent="0.25">
      <c r="F2">
        <v>1</v>
      </c>
      <c r="G2">
        <f>F2^2</f>
        <v>1</v>
      </c>
      <c r="H2">
        <f>(F2-$C$11)^2</f>
        <v>90.25</v>
      </c>
    </row>
    <row r="3" spans="1:8" x14ac:dyDescent="0.25">
      <c r="B3" s="1" t="s">
        <v>25</v>
      </c>
      <c r="C3" t="s">
        <v>153</v>
      </c>
      <c r="F3">
        <v>2</v>
      </c>
      <c r="G3">
        <f t="shared" ref="G3:G21" si="0">F3^2</f>
        <v>4</v>
      </c>
      <c r="H3">
        <f t="shared" ref="H3:H21" si="1">(F3-$C$11)^2</f>
        <v>72.25</v>
      </c>
    </row>
    <row r="4" spans="1:8" x14ac:dyDescent="0.25">
      <c r="B4" s="1" t="s">
        <v>155</v>
      </c>
      <c r="C4">
        <v>0.05</v>
      </c>
      <c r="F4">
        <v>3</v>
      </c>
      <c r="G4">
        <f t="shared" si="0"/>
        <v>9</v>
      </c>
      <c r="H4">
        <f t="shared" si="1"/>
        <v>56.25</v>
      </c>
    </row>
    <row r="5" spans="1:8" x14ac:dyDescent="0.25">
      <c r="B5" s="1" t="s">
        <v>154</v>
      </c>
      <c r="C5">
        <f>0.05*((20*21)/2)</f>
        <v>10.5</v>
      </c>
      <c r="F5">
        <v>4</v>
      </c>
      <c r="G5">
        <f t="shared" si="0"/>
        <v>16</v>
      </c>
      <c r="H5">
        <f t="shared" si="1"/>
        <v>42.25</v>
      </c>
    </row>
    <row r="6" spans="1:8" x14ac:dyDescent="0.25">
      <c r="F6">
        <v>5</v>
      </c>
      <c r="G6">
        <f t="shared" si="0"/>
        <v>25</v>
      </c>
      <c r="H6">
        <f t="shared" si="1"/>
        <v>30.25</v>
      </c>
    </row>
    <row r="7" spans="1:8" x14ac:dyDescent="0.25">
      <c r="F7">
        <v>6</v>
      </c>
      <c r="G7">
        <f t="shared" si="0"/>
        <v>36</v>
      </c>
      <c r="H7">
        <f t="shared" si="1"/>
        <v>20.25</v>
      </c>
    </row>
    <row r="8" spans="1:8" x14ac:dyDescent="0.25">
      <c r="A8" s="18" t="s">
        <v>156</v>
      </c>
      <c r="B8" s="18"/>
      <c r="C8" s="18"/>
      <c r="D8" s="18"/>
      <c r="E8" s="18"/>
      <c r="F8">
        <v>7</v>
      </c>
      <c r="G8">
        <f t="shared" si="0"/>
        <v>49</v>
      </c>
      <c r="H8">
        <f t="shared" si="1"/>
        <v>12.25</v>
      </c>
    </row>
    <row r="9" spans="1:8" x14ac:dyDescent="0.25">
      <c r="B9" s="1" t="s">
        <v>25</v>
      </c>
      <c r="C9" t="s">
        <v>153</v>
      </c>
      <c r="F9">
        <v>8</v>
      </c>
      <c r="G9">
        <f t="shared" si="0"/>
        <v>64</v>
      </c>
      <c r="H9">
        <f t="shared" si="1"/>
        <v>6.25</v>
      </c>
    </row>
    <row r="10" spans="1:8" x14ac:dyDescent="0.25">
      <c r="B10" s="1" t="s">
        <v>155</v>
      </c>
      <c r="C10">
        <v>0.05</v>
      </c>
      <c r="F10">
        <v>9</v>
      </c>
      <c r="G10">
        <f t="shared" si="0"/>
        <v>81</v>
      </c>
      <c r="H10">
        <f t="shared" si="1"/>
        <v>2.25</v>
      </c>
    </row>
    <row r="11" spans="1:8" x14ac:dyDescent="0.25">
      <c r="B11" s="1" t="s">
        <v>154</v>
      </c>
      <c r="C11">
        <f>0.05*((20*21)/2)</f>
        <v>10.5</v>
      </c>
      <c r="F11">
        <v>10</v>
      </c>
      <c r="G11">
        <f t="shared" si="0"/>
        <v>100</v>
      </c>
      <c r="H11">
        <f t="shared" si="1"/>
        <v>0.25</v>
      </c>
    </row>
    <row r="12" spans="1:8" x14ac:dyDescent="0.25">
      <c r="F12">
        <v>11</v>
      </c>
      <c r="G12">
        <f t="shared" si="0"/>
        <v>121</v>
      </c>
      <c r="H12">
        <f t="shared" si="1"/>
        <v>0.25</v>
      </c>
    </row>
    <row r="13" spans="1:8" x14ac:dyDescent="0.25">
      <c r="B13" s="1" t="s">
        <v>2</v>
      </c>
      <c r="C13">
        <f>SUM(H2:H21)/20</f>
        <v>33.25</v>
      </c>
      <c r="D13" t="s">
        <v>160</v>
      </c>
      <c r="F13">
        <v>12</v>
      </c>
      <c r="G13">
        <f t="shared" si="0"/>
        <v>144</v>
      </c>
      <c r="H13">
        <f t="shared" si="1"/>
        <v>2.25</v>
      </c>
    </row>
    <row r="14" spans="1:8" x14ac:dyDescent="0.25">
      <c r="F14">
        <v>13</v>
      </c>
      <c r="G14">
        <f t="shared" si="0"/>
        <v>169</v>
      </c>
      <c r="H14">
        <f t="shared" si="1"/>
        <v>6.25</v>
      </c>
    </row>
    <row r="15" spans="1:8" x14ac:dyDescent="0.25">
      <c r="B15" s="1" t="s">
        <v>161</v>
      </c>
      <c r="C15">
        <f>SUM(G2:G21)*C10-C11^2</f>
        <v>33.25</v>
      </c>
      <c r="D15" t="s">
        <v>162</v>
      </c>
      <c r="F15">
        <v>14</v>
      </c>
      <c r="G15">
        <f t="shared" si="0"/>
        <v>196</v>
      </c>
      <c r="H15">
        <f t="shared" si="1"/>
        <v>12.25</v>
      </c>
    </row>
    <row r="16" spans="1:8" x14ac:dyDescent="0.25">
      <c r="F16">
        <v>15</v>
      </c>
      <c r="G16">
        <f t="shared" si="0"/>
        <v>225</v>
      </c>
      <c r="H16">
        <f t="shared" si="1"/>
        <v>20.25</v>
      </c>
    </row>
    <row r="17" spans="1:8" x14ac:dyDescent="0.25">
      <c r="F17">
        <v>16</v>
      </c>
      <c r="G17">
        <f t="shared" si="0"/>
        <v>256</v>
      </c>
      <c r="H17">
        <f t="shared" si="1"/>
        <v>30.25</v>
      </c>
    </row>
    <row r="18" spans="1:8" x14ac:dyDescent="0.25">
      <c r="F18">
        <v>17</v>
      </c>
      <c r="G18">
        <f t="shared" si="0"/>
        <v>289</v>
      </c>
      <c r="H18">
        <f t="shared" si="1"/>
        <v>42.25</v>
      </c>
    </row>
    <row r="19" spans="1:8" x14ac:dyDescent="0.25">
      <c r="F19">
        <v>18</v>
      </c>
      <c r="G19">
        <f t="shared" si="0"/>
        <v>324</v>
      </c>
      <c r="H19">
        <f t="shared" si="1"/>
        <v>56.25</v>
      </c>
    </row>
    <row r="20" spans="1:8" x14ac:dyDescent="0.25">
      <c r="F20">
        <v>19</v>
      </c>
      <c r="G20">
        <f t="shared" si="0"/>
        <v>361</v>
      </c>
      <c r="H20">
        <f t="shared" si="1"/>
        <v>72.25</v>
      </c>
    </row>
    <row r="21" spans="1:8" x14ac:dyDescent="0.25">
      <c r="F21">
        <v>20</v>
      </c>
      <c r="G21">
        <f t="shared" si="0"/>
        <v>400</v>
      </c>
      <c r="H21">
        <f t="shared" si="1"/>
        <v>90.25</v>
      </c>
    </row>
    <row r="23" spans="1:8" x14ac:dyDescent="0.25">
      <c r="A23" s="18" t="s">
        <v>164</v>
      </c>
      <c r="B23" s="18"/>
      <c r="C23" s="18"/>
      <c r="D23" s="18"/>
      <c r="E23" s="18"/>
    </row>
    <row r="25" spans="1:8" x14ac:dyDescent="0.25">
      <c r="B25" s="1" t="s">
        <v>163</v>
      </c>
      <c r="C25" t="s">
        <v>165</v>
      </c>
    </row>
    <row r="26" spans="1:8" x14ac:dyDescent="0.25">
      <c r="B26" s="17">
        <v>-40000</v>
      </c>
      <c r="C26">
        <v>0.2</v>
      </c>
    </row>
    <row r="27" spans="1:8" x14ac:dyDescent="0.25">
      <c r="B27" s="17">
        <v>60000</v>
      </c>
      <c r="C27">
        <v>0.5</v>
      </c>
    </row>
    <row r="28" spans="1:8" x14ac:dyDescent="0.25">
      <c r="B28" s="17">
        <v>100000</v>
      </c>
      <c r="C28">
        <v>0.3</v>
      </c>
    </row>
    <row r="30" spans="1:8" x14ac:dyDescent="0.25">
      <c r="B30" s="1" t="s">
        <v>166</v>
      </c>
      <c r="C30">
        <f>SUMPRODUCT(B26:B28, C26:C28)</f>
        <v>52000</v>
      </c>
    </row>
    <row r="33" spans="1:5" x14ac:dyDescent="0.25">
      <c r="A33" s="18" t="s">
        <v>167</v>
      </c>
      <c r="B33" s="18"/>
      <c r="C33" s="18"/>
      <c r="D33" s="18"/>
      <c r="E33" s="18"/>
    </row>
    <row r="35" spans="1:5" x14ac:dyDescent="0.25">
      <c r="B35" s="1" t="s">
        <v>168</v>
      </c>
      <c r="C35">
        <v>0.5</v>
      </c>
    </row>
    <row r="36" spans="1:5" x14ac:dyDescent="0.25">
      <c r="B36" s="1" t="s">
        <v>40</v>
      </c>
      <c r="C36">
        <v>100</v>
      </c>
    </row>
    <row r="37" spans="1:5" x14ac:dyDescent="0.25">
      <c r="B37" s="1" t="s">
        <v>43</v>
      </c>
      <c r="C37">
        <v>61</v>
      </c>
    </row>
    <row r="38" spans="1:5" x14ac:dyDescent="0.25">
      <c r="B38" s="1" t="s">
        <v>44</v>
      </c>
      <c r="C38">
        <v>100</v>
      </c>
    </row>
    <row r="39" spans="1:5" x14ac:dyDescent="0.25">
      <c r="C39" t="s">
        <v>45</v>
      </c>
    </row>
    <row r="41" spans="1:5" x14ac:dyDescent="0.25">
      <c r="B41" s="1" t="s">
        <v>169</v>
      </c>
      <c r="C41" s="16">
        <f>_xlfn.BINOM.DIST.RANGE(C36, C35, C37, C38)</f>
        <v>1.7600100108852414E-2</v>
      </c>
      <c r="D41" t="str">
        <f ca="1">_xlfn.FORMULATEXT(C41)</f>
        <v>=BINOM.DIST.RANGE(C36, C35, C37, C38)</v>
      </c>
    </row>
    <row r="42" spans="1:5" x14ac:dyDescent="0.25">
      <c r="C42" s="9"/>
    </row>
    <row r="43" spans="1:5" x14ac:dyDescent="0.25">
      <c r="A43" s="18" t="s">
        <v>170</v>
      </c>
      <c r="B43" s="18"/>
      <c r="C43" s="18"/>
      <c r="D43" s="18"/>
      <c r="E43" s="18"/>
    </row>
    <row r="45" spans="1:5" x14ac:dyDescent="0.25">
      <c r="B45" s="1" t="s">
        <v>39</v>
      </c>
      <c r="C45">
        <v>0.02</v>
      </c>
    </row>
    <row r="46" spans="1:5" x14ac:dyDescent="0.25">
      <c r="B46" s="1" t="s">
        <v>40</v>
      </c>
      <c r="C46">
        <v>100</v>
      </c>
    </row>
    <row r="47" spans="1:5" x14ac:dyDescent="0.25">
      <c r="B47" s="1" t="s">
        <v>43</v>
      </c>
      <c r="C47">
        <v>0</v>
      </c>
    </row>
    <row r="48" spans="1:5" x14ac:dyDescent="0.25">
      <c r="B48" s="1" t="s">
        <v>44</v>
      </c>
      <c r="C48">
        <v>0</v>
      </c>
    </row>
    <row r="49" spans="1:5" x14ac:dyDescent="0.25">
      <c r="C49" t="s">
        <v>45</v>
      </c>
    </row>
    <row r="51" spans="1:5" x14ac:dyDescent="0.25">
      <c r="B51" s="1" t="s">
        <v>169</v>
      </c>
      <c r="C51" s="16">
        <f>_xlfn.BINOM.DIST.RANGE(C46, C45, C47, C48)</f>
        <v>0.13261955589475319</v>
      </c>
      <c r="D51" t="str">
        <f ca="1">_xlfn.FORMULATEXT(C51)</f>
        <v>=BINOM.DIST.RANGE(C46, C45, C47, C48)</v>
      </c>
    </row>
    <row r="54" spans="1:5" x14ac:dyDescent="0.25">
      <c r="A54" s="18" t="s">
        <v>171</v>
      </c>
      <c r="B54" s="18"/>
      <c r="C54" s="18"/>
      <c r="D54" s="18"/>
      <c r="E54" s="18"/>
    </row>
    <row r="55" spans="1:5" x14ac:dyDescent="0.25">
      <c r="E55" t="s">
        <v>172</v>
      </c>
    </row>
    <row r="56" spans="1:5" x14ac:dyDescent="0.25">
      <c r="B56" s="1" t="s">
        <v>57</v>
      </c>
      <c r="C56">
        <v>4</v>
      </c>
    </row>
    <row r="57" spans="1:5" x14ac:dyDescent="0.25">
      <c r="B57" s="1" t="s">
        <v>61</v>
      </c>
      <c r="C57">
        <v>2.6</v>
      </c>
    </row>
    <row r="58" spans="1:5" x14ac:dyDescent="0.25">
      <c r="B58" s="1" t="s">
        <v>68</v>
      </c>
      <c r="C58" t="b">
        <v>0</v>
      </c>
    </row>
    <row r="60" spans="1:5" x14ac:dyDescent="0.25">
      <c r="B60" s="1" t="s">
        <v>173</v>
      </c>
      <c r="C60" s="16">
        <f>_xlfn.POISSON.DIST(C56, C57, C58)</f>
        <v>0.14142184449197273</v>
      </c>
      <c r="D60" t="str">
        <f ca="1">_xlfn.FORMULATEXT(C60)</f>
        <v>=POISSON.DIST(C56, C57, C58)</v>
      </c>
    </row>
    <row r="63" spans="1:5" x14ac:dyDescent="0.25">
      <c r="A63" s="18" t="s">
        <v>174</v>
      </c>
      <c r="B63" s="18"/>
      <c r="C63" s="18"/>
      <c r="D63" s="18"/>
      <c r="E63" s="18"/>
    </row>
    <row r="65" spans="1:5" x14ac:dyDescent="0.25">
      <c r="B65" s="1" t="s">
        <v>70</v>
      </c>
      <c r="C65">
        <v>1.05</v>
      </c>
    </row>
    <row r="66" spans="1:5" x14ac:dyDescent="0.25">
      <c r="B66" s="1" t="s">
        <v>73</v>
      </c>
      <c r="C66" t="s">
        <v>74</v>
      </c>
    </row>
    <row r="67" spans="1:5" x14ac:dyDescent="0.25">
      <c r="B67" s="1" t="s">
        <v>71</v>
      </c>
      <c r="C67">
        <v>1</v>
      </c>
    </row>
    <row r="68" spans="1:5" x14ac:dyDescent="0.25">
      <c r="B68" s="1" t="s">
        <v>72</v>
      </c>
      <c r="C68">
        <v>0.05</v>
      </c>
    </row>
    <row r="69" spans="1:5" x14ac:dyDescent="0.25">
      <c r="C69" t="s">
        <v>45</v>
      </c>
    </row>
    <row r="71" spans="1:5" x14ac:dyDescent="0.25">
      <c r="B71" s="1" t="s">
        <v>175</v>
      </c>
      <c r="C71" s="7">
        <f>IF(C66="LT", _xlfn.NORM.DIST(C65,C67,C68,TRUE), 1-_xlfn.NORM.DIST(C65,C67,C68,TRUE))</f>
        <v>0.15865525393145674</v>
      </c>
      <c r="D71" t="str">
        <f ca="1">_xlfn.FORMULATEXT(C71)</f>
        <v>=IF(C66="LT", NORM.DIST(C65,C67,C68,TRUE), 1-NORM.DIST(C65,C67,C68,TRUE))</v>
      </c>
    </row>
    <row r="72" spans="1:5" x14ac:dyDescent="0.25">
      <c r="C72" s="7"/>
    </row>
    <row r="74" spans="1:5" x14ac:dyDescent="0.25">
      <c r="A74" s="18" t="s">
        <v>176</v>
      </c>
      <c r="B74" s="18"/>
      <c r="C74" s="18"/>
      <c r="D74" s="18"/>
      <c r="E74" s="18"/>
    </row>
    <row r="76" spans="1:5" x14ac:dyDescent="0.25">
      <c r="B76" s="1" t="s">
        <v>70</v>
      </c>
      <c r="C76">
        <v>95</v>
      </c>
    </row>
    <row r="77" spans="1:5" x14ac:dyDescent="0.25">
      <c r="B77" s="1" t="s">
        <v>71</v>
      </c>
      <c r="C77">
        <v>70</v>
      </c>
    </row>
    <row r="78" spans="1:5" x14ac:dyDescent="0.25">
      <c r="B78" s="1" t="s">
        <v>72</v>
      </c>
      <c r="C78">
        <v>10</v>
      </c>
    </row>
    <row r="79" spans="1:5" x14ac:dyDescent="0.25">
      <c r="B79" s="1" t="s">
        <v>177</v>
      </c>
      <c r="C79">
        <f>(C76-C77)/C78</f>
        <v>2.5</v>
      </c>
      <c r="D79" t="str">
        <f ca="1">_xlfn.FORMULATEXT(C79)</f>
        <v>=(C76-C77)/C78</v>
      </c>
    </row>
    <row r="82" spans="1:7" x14ac:dyDescent="0.25">
      <c r="A82" s="18" t="s">
        <v>178</v>
      </c>
      <c r="B82" s="18"/>
      <c r="C82" s="18"/>
      <c r="D82" s="18"/>
      <c r="E82" s="18"/>
    </row>
    <row r="83" spans="1:7" x14ac:dyDescent="0.25">
      <c r="G83" t="s">
        <v>181</v>
      </c>
    </row>
    <row r="84" spans="1:7" x14ac:dyDescent="0.25">
      <c r="B84" s="1" t="s">
        <v>32</v>
      </c>
      <c r="C84">
        <f>SUMPRODUCT(E84:E89, F84:F89)</f>
        <v>3.5</v>
      </c>
      <c r="E84">
        <f>1/6</f>
        <v>0.16666666666666666</v>
      </c>
      <c r="F84">
        <v>1</v>
      </c>
      <c r="G84">
        <f>(F84-C$84)^2</f>
        <v>6.25</v>
      </c>
    </row>
    <row r="85" spans="1:7" x14ac:dyDescent="0.25">
      <c r="B85" s="1" t="s">
        <v>179</v>
      </c>
      <c r="C85">
        <f>400*C84</f>
        <v>1400</v>
      </c>
      <c r="E85">
        <f t="shared" ref="E85:E89" si="2">1/6</f>
        <v>0.16666666666666666</v>
      </c>
      <c r="F85">
        <v>2</v>
      </c>
      <c r="G85">
        <f t="shared" ref="G85:G89" si="3">(F85-C$84)^2</f>
        <v>2.25</v>
      </c>
    </row>
    <row r="86" spans="1:7" x14ac:dyDescent="0.25">
      <c r="E86">
        <f t="shared" si="2"/>
        <v>0.16666666666666666</v>
      </c>
      <c r="F86">
        <v>3</v>
      </c>
      <c r="G86">
        <f t="shared" si="3"/>
        <v>0.25</v>
      </c>
    </row>
    <row r="87" spans="1:7" x14ac:dyDescent="0.25">
      <c r="B87" s="1" t="s">
        <v>180</v>
      </c>
      <c r="C87">
        <f>SUM(G84:G89)/6</f>
        <v>2.9166666666666665</v>
      </c>
      <c r="E87">
        <f t="shared" si="2"/>
        <v>0.16666666666666666</v>
      </c>
      <c r="F87">
        <v>4</v>
      </c>
      <c r="G87">
        <f t="shared" si="3"/>
        <v>0.25</v>
      </c>
    </row>
    <row r="88" spans="1:7" x14ac:dyDescent="0.25">
      <c r="B88" s="1" t="s">
        <v>182</v>
      </c>
      <c r="C88">
        <f>400*C87</f>
        <v>1166.6666666666665</v>
      </c>
      <c r="E88">
        <f t="shared" si="2"/>
        <v>0.16666666666666666</v>
      </c>
      <c r="F88">
        <v>5</v>
      </c>
      <c r="G88">
        <f t="shared" si="3"/>
        <v>2.25</v>
      </c>
    </row>
    <row r="89" spans="1:7" x14ac:dyDescent="0.25">
      <c r="B89" s="1" t="s">
        <v>183</v>
      </c>
      <c r="C89">
        <f>SQRT(C88)</f>
        <v>34.156502553198656</v>
      </c>
      <c r="E89">
        <f t="shared" si="2"/>
        <v>0.16666666666666666</v>
      </c>
      <c r="F89">
        <v>6</v>
      </c>
      <c r="G89">
        <f t="shared" si="3"/>
        <v>6.25</v>
      </c>
    </row>
    <row r="91" spans="1:7" x14ac:dyDescent="0.25">
      <c r="B91" s="1" t="s">
        <v>187</v>
      </c>
      <c r="C91" s="7">
        <f>1-_xlfn.NORM.DIST(1449.5, C85, C89, TRUE)</f>
        <v>7.3639248351408226E-2</v>
      </c>
      <c r="D91" t="str">
        <f ca="1">_xlfn.FORMULATEXT(C91)</f>
        <v>=1-NORM.DIST(1449.5, C85, C89, TRUE)</v>
      </c>
    </row>
    <row r="94" spans="1:7" x14ac:dyDescent="0.25">
      <c r="A94" s="18" t="s">
        <v>184</v>
      </c>
      <c r="B94" s="18"/>
      <c r="C94" s="18"/>
      <c r="D94" s="18"/>
      <c r="E94" s="18"/>
    </row>
    <row r="96" spans="1:7" x14ac:dyDescent="0.25">
      <c r="B96" s="1" t="s">
        <v>185</v>
      </c>
      <c r="C96">
        <v>8.2200000000000006</v>
      </c>
    </row>
    <row r="97" spans="2:4" x14ac:dyDescent="0.25">
      <c r="B97" s="1" t="s">
        <v>186</v>
      </c>
      <c r="C97">
        <v>1.1000000000000001</v>
      </c>
    </row>
    <row r="99" spans="2:4" x14ac:dyDescent="0.25">
      <c r="B99" s="1" t="s">
        <v>188</v>
      </c>
      <c r="C99" s="16">
        <f>1-_xlfn.NORM.DIST(10.005,C96,C97,TRUE)</f>
        <v>5.2323859304242992E-2</v>
      </c>
      <c r="D99" t="str">
        <f ca="1">_xlfn.FORMULATEXT(C99)</f>
        <v>=1-NORM.DIST(10.005,C96,C97,TRUE)</v>
      </c>
    </row>
  </sheetData>
  <mergeCells count="10">
    <mergeCell ref="A63:E63"/>
    <mergeCell ref="A74:E74"/>
    <mergeCell ref="A82:E82"/>
    <mergeCell ref="A94:E94"/>
    <mergeCell ref="A1:E1"/>
    <mergeCell ref="A8:E8"/>
    <mergeCell ref="A23:E23"/>
    <mergeCell ref="A33:E33"/>
    <mergeCell ref="A43:E43"/>
    <mergeCell ref="A54:E5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M3L2</vt:lpstr>
      <vt:lpstr>M3L3</vt:lpstr>
      <vt:lpstr>M3L4</vt:lpstr>
      <vt:lpstr>M3L5</vt:lpstr>
      <vt:lpstr>M3L6</vt:lpstr>
      <vt:lpstr>M3L7</vt:lpstr>
      <vt:lpstr>M3L8</vt:lpstr>
      <vt:lpstr>Quiz</vt:lpstr>
    </vt:vector>
  </TitlesOfParts>
  <Company>Cameron LNG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Edelman</dc:creator>
  <cp:lastModifiedBy>David Edelman</cp:lastModifiedBy>
  <dcterms:created xsi:type="dcterms:W3CDTF">2017-11-09T21:54:17Z</dcterms:created>
  <dcterms:modified xsi:type="dcterms:W3CDTF">2017-11-27T22:35:15Z</dcterms:modified>
</cp:coreProperties>
</file>