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Job Application\Data Analyst Materials\Data_Analytics-Zero_to_Hero-Excel\Data_Analytics-Zero_to_Hero-Excel\Model\"/>
    </mc:Choice>
  </mc:AlternateContent>
  <xr:revisionPtr revIDLastSave="0" documentId="13_ncr:1_{D129FDFC-A123-4971-B4E8-384D25711399}" xr6:coauthVersionLast="47" xr6:coauthVersionMax="47" xr10:uidLastSave="{00000000-0000-0000-0000-000000000000}"/>
  <bookViews>
    <workbookView xWindow="-120" yWindow="-120" windowWidth="29040" windowHeight="15720" activeTab="3" xr2:uid="{70D0DC19-E0A6-49AA-A2FA-42BEDB30FFBA}"/>
  </bookViews>
  <sheets>
    <sheet name="01_Executive_Overview" sheetId="5" r:id="rId1"/>
    <sheet name="02_Partner_Structure" sheetId="8" r:id="rId2"/>
    <sheet name="03_Sector_Composition" sheetId="10" r:id="rId3"/>
    <sheet name="04_Trade_Balance_Analysis" sheetId="12" r:id="rId4"/>
    <sheet name="Pivot_Backend" sheetId="7" state="hidden" r:id="rId5"/>
  </sheets>
  <definedNames>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Trade_c3fed520-7be1-492c-b135-48723f4dbbad" name="Fact_Trade" connection="Query - Fact_Trade"/>
          <x15:modelTable id="Dim_Product_fa749799-8509-41c2-93a4-2351b74ad067" name="Dim_Product" connection="Query - Dim_Product"/>
          <x15:modelTable id="Dim_Date_d7b06e2a-2aa9-4028-b16a-54d7573e5130" name="Dim_Date" connection="Query - Dim_Date"/>
          <x15:modelTable id="Dim_Partner_a6976373-4276-4cfb-acfb-965b2b42eb27" name="Dim_Partner" connection="Query - Dim_Partner"/>
        </x15:modelTables>
        <x15:modelRelationships>
          <x15:modelRelationship fromTable="Fact_Trade" fromColumn="HS2_Code" toTable="Dim_Product" toColumn="HS2_Code"/>
          <x15:modelRelationship fromTable="Fact_Trade" fromColumn="Year" toTable="Dim_Date" toColumn="Year"/>
          <x15:modelRelationship fromTable="Fact_Trade" fromColumn="Partner" toTable="Dim_Partner" toColumn="Partn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2" l="1"/>
  <c r="G32" i="12"/>
  <c r="AI4" i="7"/>
  <c r="AK4" i="7" s="1"/>
  <c r="AI5" i="7"/>
  <c r="AK5" i="7" s="1"/>
  <c r="AI6" i="7"/>
  <c r="AK6" i="7" s="1"/>
  <c r="AI7" i="7"/>
  <c r="AK7" i="7" s="1"/>
  <c r="AI8" i="7"/>
  <c r="AJ8" i="7" s="1"/>
  <c r="AI9" i="7"/>
  <c r="AK9" i="7" s="1"/>
  <c r="AI10" i="7"/>
  <c r="AK10" i="7" s="1"/>
  <c r="AI11" i="7"/>
  <c r="AJ11" i="7" s="1"/>
  <c r="AI12" i="7"/>
  <c r="AK12" i="7" s="1"/>
  <c r="AI13" i="7"/>
  <c r="AK13" i="7" s="1"/>
  <c r="AI14" i="7"/>
  <c r="AK14" i="7" s="1"/>
  <c r="AI15" i="7"/>
  <c r="AJ15" i="7" s="1"/>
  <c r="AI16" i="7"/>
  <c r="AK16" i="7" s="1"/>
  <c r="AI17" i="7"/>
  <c r="AK17" i="7" s="1"/>
  <c r="AI3" i="7"/>
  <c r="AK3" i="7" s="1"/>
  <c r="AH4" i="7"/>
  <c r="AH5" i="7"/>
  <c r="AH6" i="7"/>
  <c r="AH7" i="7"/>
  <c r="AH8" i="7"/>
  <c r="AH9" i="7"/>
  <c r="AH10" i="7"/>
  <c r="AH11" i="7"/>
  <c r="AH12" i="7"/>
  <c r="AH13" i="7"/>
  <c r="AH14" i="7"/>
  <c r="AH15" i="7"/>
  <c r="AH16" i="7"/>
  <c r="AH17" i="7"/>
  <c r="AH3" i="7"/>
  <c r="N25" i="8"/>
  <c r="N24" i="8"/>
  <c r="E25" i="8"/>
  <c r="E24" i="8"/>
  <c r="H29" i="10"/>
  <c r="U29" i="10"/>
  <c r="U28" i="10"/>
  <c r="H28" i="10"/>
  <c r="AB22" i="7"/>
  <c r="AB23" i="7"/>
  <c r="AB24" i="7"/>
  <c r="AB25" i="7"/>
  <c r="AB26" i="7"/>
  <c r="AB27" i="7"/>
  <c r="AB28" i="7"/>
  <c r="AB29" i="7"/>
  <c r="AB30" i="7"/>
  <c r="AB31" i="7"/>
  <c r="AB32" i="7"/>
  <c r="AB33" i="7"/>
  <c r="AB34" i="7"/>
  <c r="AB35" i="7"/>
  <c r="AB21" i="7"/>
  <c r="AA22" i="7"/>
  <c r="AA23" i="7"/>
  <c r="AA24" i="7"/>
  <c r="AA25" i="7"/>
  <c r="AA26" i="7"/>
  <c r="AA27" i="7"/>
  <c r="AA28" i="7"/>
  <c r="AA29" i="7"/>
  <c r="AA30" i="7"/>
  <c r="AA31" i="7"/>
  <c r="AA32" i="7"/>
  <c r="AA33" i="7"/>
  <c r="AA34" i="7"/>
  <c r="AA35" i="7"/>
  <c r="AA21" i="7"/>
  <c r="AB4" i="7"/>
  <c r="AB5" i="7"/>
  <c r="AB6" i="7"/>
  <c r="AB7" i="7"/>
  <c r="AB8" i="7"/>
  <c r="AB9" i="7"/>
  <c r="AB10" i="7"/>
  <c r="AB11" i="7"/>
  <c r="AB12" i="7"/>
  <c r="AB13" i="7"/>
  <c r="AB14" i="7"/>
  <c r="AB15" i="7"/>
  <c r="AB16" i="7"/>
  <c r="AB17" i="7"/>
  <c r="AB3" i="7"/>
  <c r="AA4" i="7"/>
  <c r="AA5" i="7"/>
  <c r="AA6" i="7"/>
  <c r="AA7" i="7"/>
  <c r="AA8" i="7"/>
  <c r="AA9" i="7"/>
  <c r="AA10" i="7"/>
  <c r="AA11" i="7"/>
  <c r="AA12" i="7"/>
  <c r="AA13" i="7"/>
  <c r="AA14" i="7"/>
  <c r="AA15" i="7"/>
  <c r="AA16" i="7"/>
  <c r="AA17" i="7"/>
  <c r="AA3" i="7"/>
  <c r="U12" i="7"/>
  <c r="U11" i="7"/>
  <c r="U10" i="7"/>
  <c r="U9" i="7"/>
  <c r="U8" i="7"/>
  <c r="U7" i="7"/>
  <c r="U6" i="7"/>
  <c r="U5" i="7"/>
  <c r="U4" i="7"/>
  <c r="U3" i="7"/>
  <c r="T12" i="7"/>
  <c r="T11" i="7"/>
  <c r="T10" i="7"/>
  <c r="T9" i="7"/>
  <c r="T8" i="7"/>
  <c r="T7" i="7"/>
  <c r="T6" i="7"/>
  <c r="T5" i="7"/>
  <c r="T4" i="7"/>
  <c r="T3" i="7"/>
  <c r="N12" i="7"/>
  <c r="N11" i="7"/>
  <c r="N10" i="7"/>
  <c r="N9" i="7"/>
  <c r="N8" i="7"/>
  <c r="N7" i="7"/>
  <c r="N6" i="7"/>
  <c r="N5" i="7"/>
  <c r="N4" i="7"/>
  <c r="N3" i="7"/>
  <c r="M12" i="7"/>
  <c r="M11" i="7"/>
  <c r="M10" i="7"/>
  <c r="M9" i="7"/>
  <c r="M8" i="7"/>
  <c r="M7" i="7"/>
  <c r="M6" i="7"/>
  <c r="M5" i="7"/>
  <c r="M4" i="7"/>
  <c r="M3" i="7"/>
  <c r="G29" i="5"/>
  <c r="F29" i="5"/>
  <c r="E29" i="5"/>
  <c r="D29" i="5"/>
  <c r="C29" i="5"/>
  <c r="B29" i="5"/>
  <c r="G27" i="5"/>
  <c r="F27" i="5"/>
  <c r="E27" i="5"/>
  <c r="D27" i="5"/>
  <c r="C27" i="5"/>
  <c r="B27" i="5"/>
  <c r="F26" i="5"/>
  <c r="D26" i="5"/>
  <c r="B26" i="5"/>
  <c r="G24" i="5"/>
  <c r="F24" i="5"/>
  <c r="E24" i="5"/>
  <c r="D24" i="5"/>
  <c r="C24" i="5"/>
  <c r="B24" i="5"/>
  <c r="G22" i="5"/>
  <c r="F22" i="5"/>
  <c r="E22" i="5"/>
  <c r="D22" i="5"/>
  <c r="C22" i="5"/>
  <c r="B22" i="5"/>
  <c r="F21" i="5"/>
  <c r="D21" i="5"/>
  <c r="B21" i="5"/>
  <c r="F17" i="5"/>
  <c r="E17" i="5"/>
  <c r="D17" i="5"/>
  <c r="C17" i="5"/>
  <c r="B17" i="5"/>
  <c r="B16" i="5"/>
  <c r="F13" i="5"/>
  <c r="E13" i="5"/>
  <c r="D13" i="5"/>
  <c r="C13" i="5"/>
  <c r="B13" i="5"/>
  <c r="B12" i="5"/>
  <c r="F9" i="5"/>
  <c r="E9" i="5"/>
  <c r="D9" i="5"/>
  <c r="C9" i="5"/>
  <c r="B9" i="5"/>
  <c r="B8" i="5"/>
  <c r="E5" i="5"/>
  <c r="E23" i="5"/>
  <c r="F18" i="5"/>
  <c r="C18" i="5"/>
  <c r="F28" i="5"/>
  <c r="C6" i="5"/>
  <c r="E25" i="5"/>
  <c r="G23" i="5"/>
  <c r="B18" i="5"/>
  <c r="E10" i="5"/>
  <c r="E18" i="5"/>
  <c r="C23" i="5"/>
  <c r="E28" i="5"/>
  <c r="E6" i="5"/>
  <c r="G28" i="5"/>
  <c r="D25" i="5"/>
  <c r="B6" i="5"/>
  <c r="F10" i="5"/>
  <c r="D10" i="5"/>
  <c r="F25" i="5"/>
  <c r="E30" i="5"/>
  <c r="D28" i="5"/>
  <c r="B10" i="5"/>
  <c r="E14" i="5"/>
  <c r="C25" i="5"/>
  <c r="B28" i="5"/>
  <c r="D14" i="5"/>
  <c r="C10" i="5"/>
  <c r="D30" i="5"/>
  <c r="C30" i="5"/>
  <c r="G30" i="5"/>
  <c r="B30" i="5"/>
  <c r="C14" i="5"/>
  <c r="C28" i="5"/>
  <c r="F23" i="5"/>
  <c r="D23" i="5"/>
  <c r="F14" i="5"/>
  <c r="D18" i="5"/>
  <c r="G25" i="5"/>
  <c r="B14" i="5"/>
  <c r="D6" i="5"/>
  <c r="B23" i="5"/>
  <c r="B25" i="5"/>
  <c r="F30" i="5"/>
  <c r="J30" i="12" l="1"/>
  <c r="J32" i="12"/>
  <c r="AJ3" i="7"/>
  <c r="AJ17" i="7"/>
  <c r="AJ16" i="7"/>
  <c r="AJ14" i="7"/>
  <c r="AJ13" i="7"/>
  <c r="AJ12" i="7"/>
  <c r="AJ7" i="7"/>
  <c r="AJ9" i="7"/>
  <c r="AJ6" i="7"/>
  <c r="AJ5" i="7"/>
  <c r="AJ4" i="7"/>
  <c r="AK15" i="7"/>
  <c r="AK8" i="7"/>
  <c r="AJ10" i="7"/>
  <c r="AK11" i="7"/>
  <c r="AC25" i="7"/>
  <c r="AC23" i="7"/>
  <c r="AC15" i="7"/>
  <c r="AD22" i="7"/>
  <c r="AC33" i="7"/>
  <c r="AD32" i="7"/>
  <c r="AC27" i="7"/>
  <c r="AD26" i="7"/>
  <c r="AC24" i="7"/>
  <c r="AD7" i="7"/>
  <c r="AD23" i="7"/>
  <c r="AC21" i="7"/>
  <c r="AD6" i="7"/>
  <c r="AD35" i="7"/>
  <c r="AD34" i="7"/>
  <c r="AD3" i="7"/>
  <c r="AC34" i="7"/>
  <c r="AD33" i="7"/>
  <c r="AC17" i="7"/>
  <c r="AC5" i="7"/>
  <c r="AC35" i="7"/>
  <c r="AD27" i="7"/>
  <c r="AC16" i="7"/>
  <c r="AC32" i="7"/>
  <c r="AD15" i="7"/>
  <c r="AD30" i="7"/>
  <c r="AD29" i="7"/>
  <c r="AD13" i="7"/>
  <c r="AC29" i="7"/>
  <c r="AD28" i="7"/>
  <c r="AD12" i="7"/>
  <c r="AC28" i="7"/>
  <c r="AD11" i="7"/>
  <c r="AC22" i="7"/>
  <c r="AD21" i="7"/>
  <c r="AD4" i="7"/>
  <c r="AD31" i="7"/>
  <c r="AC31" i="7"/>
  <c r="AD14" i="7"/>
  <c r="AC30" i="7"/>
  <c r="AD10" i="7"/>
  <c r="AC26" i="7"/>
  <c r="AD25" i="7"/>
  <c r="AC6" i="7"/>
  <c r="AD24" i="7"/>
  <c r="AD8" i="7"/>
  <c r="AC14" i="7"/>
  <c r="AC9" i="7"/>
  <c r="AC4" i="7"/>
  <c r="AC13" i="7"/>
  <c r="AC11" i="7"/>
  <c r="AC7" i="7"/>
  <c r="AD17" i="7"/>
  <c r="AC10" i="7"/>
  <c r="AC3" i="7"/>
  <c r="AD16" i="7"/>
  <c r="AC12" i="7"/>
  <c r="AC8" i="7"/>
  <c r="AD9" i="7"/>
  <c r="AD5" i="7"/>
  <c r="V12" i="7"/>
  <c r="W7" i="7"/>
  <c r="P5" i="7"/>
  <c r="W8" i="7"/>
  <c r="V10" i="7"/>
  <c r="W4" i="7"/>
  <c r="W5" i="7"/>
  <c r="W6" i="7"/>
  <c r="W9" i="7"/>
  <c r="V11" i="7"/>
  <c r="V9" i="7"/>
  <c r="V8" i="7"/>
  <c r="W10" i="7"/>
  <c r="V4" i="7"/>
  <c r="W12" i="7"/>
  <c r="V5" i="7"/>
  <c r="W3" i="7"/>
  <c r="W11" i="7"/>
  <c r="V7" i="7"/>
  <c r="V6" i="7"/>
  <c r="V3" i="7"/>
  <c r="P6" i="7"/>
  <c r="P9" i="7"/>
  <c r="O12" i="7"/>
  <c r="O11" i="7"/>
  <c r="O3" i="7"/>
  <c r="P7" i="7"/>
  <c r="P8" i="7"/>
  <c r="O10" i="7"/>
  <c r="P4" i="7"/>
  <c r="O6" i="7"/>
  <c r="O5" i="7"/>
  <c r="O4" i="7"/>
  <c r="P3" i="7"/>
  <c r="P10" i="7"/>
  <c r="O9" i="7"/>
  <c r="O8" i="7"/>
  <c r="P11" i="7"/>
  <c r="O7" i="7"/>
  <c r="P12" i="7"/>
  <c r="F26" i="7"/>
  <c r="H28" i="7"/>
  <c r="C28" i="7"/>
  <c r="G25" i="7"/>
  <c r="D27" i="7"/>
  <c r="G26" i="7"/>
  <c r="D28" i="7"/>
  <c r="H25" i="7"/>
  <c r="H27" i="7"/>
  <c r="C25" i="7"/>
  <c r="E28" i="7"/>
  <c r="D25" i="7"/>
  <c r="F28" i="7"/>
  <c r="G28" i="7"/>
  <c r="H26" i="7"/>
  <c r="C26" i="7"/>
  <c r="D26" i="7"/>
  <c r="C27" i="7"/>
  <c r="E25" i="7"/>
  <c r="F27" i="7"/>
  <c r="G27" i="7"/>
  <c r="F25" i="7"/>
  <c r="E27" i="7"/>
  <c r="E2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899189-73A5-48FF-9767-0C5DEACB0AA7}" name="Query - Dim_Date" description="Connection to the 'Dim_Date' query in the workbook." type="100" refreshedVersion="8" minRefreshableVersion="5">
    <extLst>
      <ext xmlns:x15="http://schemas.microsoft.com/office/spreadsheetml/2010/11/main" uri="{DE250136-89BD-433C-8126-D09CA5730AF9}">
        <x15:connection id="42c27b3e-7d0d-4c38-9a83-e50f08096f0f"/>
      </ext>
    </extLst>
  </connection>
  <connection id="2" xr16:uid="{3A2D1D34-86E0-4A77-8CAB-E2D96250C563}" name="Query - Dim_Partner" description="Connection to the 'Dim_Partner' query in the workbook." type="100" refreshedVersion="8" minRefreshableVersion="5">
    <extLst>
      <ext xmlns:x15="http://schemas.microsoft.com/office/spreadsheetml/2010/11/main" uri="{DE250136-89BD-433C-8126-D09CA5730AF9}">
        <x15:connection id="7bab2b3d-221a-49ed-88b7-fba90031293a"/>
      </ext>
    </extLst>
  </connection>
  <connection id="3" xr16:uid="{712128EF-572A-478C-BEBF-3539C9709AD6}" name="Query - Dim_Product" description="Connection to the 'Dim_Product' query in the workbook." type="100" refreshedVersion="8" minRefreshableVersion="5">
    <extLst>
      <ext xmlns:x15="http://schemas.microsoft.com/office/spreadsheetml/2010/11/main" uri="{DE250136-89BD-433C-8126-D09CA5730AF9}">
        <x15:connection id="aee0abdf-8cb6-44de-81f6-135f116657a1"/>
      </ext>
    </extLst>
  </connection>
  <connection id="4" xr16:uid="{9CAEC10E-A522-4F50-A68D-82007A3ECD4A}" name="Query - Fact_Trade" description="Connection to the 'Fact_Trade' query in the workbook." type="100" refreshedVersion="8" minRefreshableVersion="5" background="1" saveData="1">
    <extLst>
      <ext xmlns:x15="http://schemas.microsoft.com/office/spreadsheetml/2010/11/main" uri="{DE250136-89BD-433C-8126-D09CA5730AF9}">
        <x15:connection id="a3d38d7e-f91e-4901-b760-81f20a32e235"/>
      </ext>
    </extLst>
  </connection>
  <connection id="5" xr16:uid="{5BCD6B17-2A9F-40AF-9591-85231032A898}"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6" xr16:uid="{04558B2C-1FCA-40C0-A815-60604906DD9A}"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7" xr16:uid="{FB09A35C-463A-4ADA-AEBE-C057647E4407}" keepAlive="1" name="Query - Philippine_Gross_Exports" description="Connection to the 'Philippine_Gross_Exports' query in the workbook." type="5" refreshedVersion="0" background="1">
    <dbPr connection="Provider=Microsoft.Mashup.OleDb.1;Data Source=$Workbook$;Location=Philippine_Gross_Exports;Extended Properties=&quot;&quot;" command="SELECT * FROM [Philippine_Gross_Exports]"/>
  </connection>
  <connection id="8" xr16:uid="{A874D976-F9D6-41AD-9109-EC9A9AC7B966}" keepAlive="1" name="Query - Philippine_Gross_Imports" description="Connection to the 'Philippine_Gross_Imports' query in the workbook." type="5" refreshedVersion="0" background="1">
    <dbPr connection="Provider=Microsoft.Mashup.OleDb.1;Data Source=$Workbook$;Location=Philippine_Gross_Imports;Extended Properties=&quot;&quot;" command="SELECT * FROM [Philippine_Gross_Imports]"/>
  </connection>
  <connection id="9" xr16:uid="{08014F46-EF60-41EE-97C7-2D87D93E04D0}"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0" xr16:uid="{E312B2DF-BC87-464F-8DC6-58228ADA5EAB}"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1" xr16:uid="{C39A1004-0B5D-497F-9170-CFFB8C45CA08}"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2" xr16:uid="{9609B6A2-6C46-4E9D-8B6D-319321B8FA64}"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3" xr16:uid="{32269272-5E15-4FA9-8A3B-826D6D18136D}"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4" xr16:uid="{70DACE8C-AFF5-4E5D-8322-9EB500CA32BA}"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15" xr16:uid="{D970C3EC-ED80-4422-B5D8-8EBD3CD640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<sst xmlns="http://schemas.openxmlformats.org/spreadsheetml/2006/main" count="551" uniqueCount="282">
  <si>
    <t>Grand Total</t>
  </si>
  <si>
    <t>Animal &amp; Animal Products</t>
  </si>
  <si>
    <t>Chemicals and Allied Industries</t>
  </si>
  <si>
    <t>Foodstuffs</t>
  </si>
  <si>
    <t>Footwear/Headgear</t>
  </si>
  <si>
    <t>Machinery/Electrical</t>
  </si>
  <si>
    <t>Metals</t>
  </si>
  <si>
    <t>Mineral Products</t>
  </si>
  <si>
    <t>Miscellaneous</t>
  </si>
  <si>
    <t>Plastics/Rubbers</t>
  </si>
  <si>
    <t>Raw Hides, Skins, Leather, &amp; Furs</t>
  </si>
  <si>
    <t>Stone/Glass</t>
  </si>
  <si>
    <t>Textiles</t>
  </si>
  <si>
    <t>Transportation</t>
  </si>
  <si>
    <t>Vegetable Products</t>
  </si>
  <si>
    <t>Wood and Wood Products</t>
  </si>
  <si>
    <t>By Sector Export Share %</t>
  </si>
  <si>
    <t>By Sector Import Share %</t>
  </si>
  <si>
    <t>Afghanistan</t>
  </si>
  <si>
    <t>Afr.Other ns</t>
  </si>
  <si>
    <t>Albania</t>
  </si>
  <si>
    <t>Algeria</t>
  </si>
  <si>
    <t>American Samoa</t>
  </si>
  <si>
    <t>Andorra</t>
  </si>
  <si>
    <t>Angola</t>
  </si>
  <si>
    <t>Anguilla</t>
  </si>
  <si>
    <t>Antarctica</t>
  </si>
  <si>
    <t>Antigua,Barb</t>
  </si>
  <si>
    <t>Areas nes</t>
  </si>
  <si>
    <t>Argentina</t>
  </si>
  <si>
    <t>Armenia</t>
  </si>
  <si>
    <t>Aruba</t>
  </si>
  <si>
    <t>Asia Othr.ns</t>
  </si>
  <si>
    <t>Australia</t>
  </si>
  <si>
    <t>Austria</t>
  </si>
  <si>
    <t>Azerbaijan</t>
  </si>
  <si>
    <t>Bahamas</t>
  </si>
  <si>
    <t>Bahrain</t>
  </si>
  <si>
    <t>Bangladesh</t>
  </si>
  <si>
    <t>Barbados</t>
  </si>
  <si>
    <t>Belarus</t>
  </si>
  <si>
    <t>Belgium</t>
  </si>
  <si>
    <t>Belize</t>
  </si>
  <si>
    <t>Benin</t>
  </si>
  <si>
    <t>Bermuda</t>
  </si>
  <si>
    <t>Bhutan</t>
  </si>
  <si>
    <t>Bolivia</t>
  </si>
  <si>
    <t>Bosnia Herzg</t>
  </si>
  <si>
    <t>Botswana</t>
  </si>
  <si>
    <t>Bouvet Island</t>
  </si>
  <si>
    <t>Br.Ind.Oc.Tr</t>
  </si>
  <si>
    <t>Br.Virgin Is</t>
  </si>
  <si>
    <t>Brazil</t>
  </si>
  <si>
    <t>Brunei Darsm</t>
  </si>
  <si>
    <t>Bulgaria</t>
  </si>
  <si>
    <t>Burkina Faso</t>
  </si>
  <si>
    <t>Burundi</t>
  </si>
  <si>
    <t>Cambodia</t>
  </si>
  <si>
    <t>Cameroon</t>
  </si>
  <si>
    <t>Canada</t>
  </si>
  <si>
    <t>Cape Verde</t>
  </si>
  <si>
    <t>Cayman Is</t>
  </si>
  <si>
    <t>Cent.Afr.Rep</t>
  </si>
  <si>
    <t>Chad</t>
  </si>
  <si>
    <t>Chile</t>
  </si>
  <si>
    <t>China</t>
  </si>
  <si>
    <t>Christmas Is</t>
  </si>
  <si>
    <t>Cocos Is</t>
  </si>
  <si>
    <t>Colombia</t>
  </si>
  <si>
    <t>Comoros</t>
  </si>
  <si>
    <t>Congo</t>
  </si>
  <si>
    <t>Cook Is</t>
  </si>
  <si>
    <t>Costa Rica</t>
  </si>
  <si>
    <t>Cote Divoire</t>
  </si>
  <si>
    <t>Croatia</t>
  </si>
  <si>
    <t>Cuba</t>
  </si>
  <si>
    <t>Cyprus</t>
  </si>
  <si>
    <t>Czech Rep</t>
  </si>
  <si>
    <t>Denmark</t>
  </si>
  <si>
    <t>Djibouti</t>
  </si>
  <si>
    <t>Dominica</t>
  </si>
  <si>
    <t>Dominican Rp</t>
  </si>
  <si>
    <t>East Timor</t>
  </si>
  <si>
    <t>Ecuador</t>
  </si>
  <si>
    <t>Egypt</t>
  </si>
  <si>
    <t>El Salvador</t>
  </si>
  <si>
    <t>Eq.Guinea</t>
  </si>
  <si>
    <t>Eritrea</t>
  </si>
  <si>
    <t>Estonia</t>
  </si>
  <si>
    <t>Ethiopia</t>
  </si>
  <si>
    <t>Faeroe Is</t>
  </si>
  <si>
    <t>Falkland Is</t>
  </si>
  <si>
    <t>Fiji</t>
  </si>
  <si>
    <t>Finland</t>
  </si>
  <si>
    <t>Fr.Polynesia</t>
  </si>
  <si>
    <t>Fr.So.Ant.Tr</t>
  </si>
  <si>
    <t>France+Monac</t>
  </si>
  <si>
    <t>Gabon</t>
  </si>
  <si>
    <t>Gambia</t>
  </si>
  <si>
    <t>Georgia</t>
  </si>
  <si>
    <t>Germany</t>
  </si>
  <si>
    <t>Ghana</t>
  </si>
  <si>
    <t>Gibraltar</t>
  </si>
  <si>
    <t>Greece</t>
  </si>
  <si>
    <t>Greenland</t>
  </si>
  <si>
    <t>Grenada</t>
  </si>
  <si>
    <t>Guam</t>
  </si>
  <si>
    <t>Guatemala</t>
  </si>
  <si>
    <t>Guinea</t>
  </si>
  <si>
    <t>GuineaBissau</t>
  </si>
  <si>
    <t>Guyana</t>
  </si>
  <si>
    <t>Haiti</t>
  </si>
  <si>
    <t>Heard Island and McDonald Islands</t>
  </si>
  <si>
    <t>Holy See</t>
  </si>
  <si>
    <t>Honduras</t>
  </si>
  <si>
    <t>Hong Kong</t>
  </si>
  <si>
    <t>Hungary</t>
  </si>
  <si>
    <t>Iceland</t>
  </si>
  <si>
    <t>India</t>
  </si>
  <si>
    <t>Indonesia</t>
  </si>
  <si>
    <t>Iran-Islam.R</t>
  </si>
  <si>
    <t>Iraq</t>
  </si>
  <si>
    <t>Ireland</t>
  </si>
  <si>
    <t>Israel</t>
  </si>
  <si>
    <t>Italy</t>
  </si>
  <si>
    <t>Jamaica</t>
  </si>
  <si>
    <t>Japan</t>
  </si>
  <si>
    <t>Jordan</t>
  </si>
  <si>
    <t>Kazakhstan</t>
  </si>
  <si>
    <t>Kenya</t>
  </si>
  <si>
    <t>Kiribati</t>
  </si>
  <si>
    <t>Korea D P Rp</t>
  </si>
  <si>
    <t>Korea Rep.</t>
  </si>
  <si>
    <t>Kuwait</t>
  </si>
  <si>
    <t>Kyrgyzstan</t>
  </si>
  <si>
    <t>Lao P.Dem.R</t>
  </si>
  <si>
    <t>Latvia</t>
  </si>
  <si>
    <t>Lebanon</t>
  </si>
  <si>
    <t>Lesotho</t>
  </si>
  <si>
    <t>Liberia</t>
  </si>
  <si>
    <t>Libya</t>
  </si>
  <si>
    <t>Lithuania</t>
  </si>
  <si>
    <t>Luxemberg</t>
  </si>
  <si>
    <t>Macau</t>
  </si>
  <si>
    <t>Madagascar</t>
  </si>
  <si>
    <t>Malawi</t>
  </si>
  <si>
    <t>Malaysia</t>
  </si>
  <si>
    <t>Maldives</t>
  </si>
  <si>
    <t>Mali</t>
  </si>
  <si>
    <t>Malta</t>
  </si>
  <si>
    <t>Marshall Is</t>
  </si>
  <si>
    <t>Mauritania</t>
  </si>
  <si>
    <t>Mauritius</t>
  </si>
  <si>
    <t>Mexico</t>
  </si>
  <si>
    <t>Micronesia</t>
  </si>
  <si>
    <t>Mongolia</t>
  </si>
  <si>
    <t>Montenegro</t>
  </si>
  <si>
    <t>Montserrat</t>
  </si>
  <si>
    <t>Morocco</t>
  </si>
  <si>
    <t>Mozambique</t>
  </si>
  <si>
    <t>Myanmar</t>
  </si>
  <si>
    <t>N.Mariana Is</t>
  </si>
  <si>
    <t>Namibia</t>
  </si>
  <si>
    <t>Nauru</t>
  </si>
  <si>
    <t>Nepal</t>
  </si>
  <si>
    <t>Netherlands</t>
  </si>
  <si>
    <t>New Calednia</t>
  </si>
  <si>
    <t>New Zealand</t>
  </si>
  <si>
    <t>Nicaragua</t>
  </si>
  <si>
    <t>Niger</t>
  </si>
  <si>
    <t>Nigeria</t>
  </si>
  <si>
    <t>Niue</t>
  </si>
  <si>
    <t>Norfolk Is</t>
  </si>
  <si>
    <t>Norway,Sb,JM</t>
  </si>
  <si>
    <t>Oman</t>
  </si>
  <si>
    <t>Pakistan</t>
  </si>
  <si>
    <t>Palau</t>
  </si>
  <si>
    <t>Panama</t>
  </si>
  <si>
    <t>Papua N.Guin</t>
  </si>
  <si>
    <t>Paraguay</t>
  </si>
  <si>
    <t>Peru</t>
  </si>
  <si>
    <t>Pitcairn</t>
  </si>
  <si>
    <t>Poland</t>
  </si>
  <si>
    <t>Portugal</t>
  </si>
  <si>
    <t>Qatar</t>
  </si>
  <si>
    <t>Rep.Moldova</t>
  </si>
  <si>
    <t>Romania</t>
  </si>
  <si>
    <t>Russian Fed</t>
  </si>
  <si>
    <t>Rwanda</t>
  </si>
  <si>
    <t>Saint Maarten (Dutch part)</t>
  </si>
  <si>
    <t>Samoa</t>
  </si>
  <si>
    <t>San Marino</t>
  </si>
  <si>
    <t>Sao Tome Prn</t>
  </si>
  <si>
    <t>Saudi Arabia</t>
  </si>
  <si>
    <t>Senegal</t>
  </si>
  <si>
    <t>Seychelles</t>
  </si>
  <si>
    <t>Sierra Leone</t>
  </si>
  <si>
    <t>Singapore</t>
  </si>
  <si>
    <t>Slovakia</t>
  </si>
  <si>
    <t>Slovenia</t>
  </si>
  <si>
    <t>Solomon Is</t>
  </si>
  <si>
    <t>Somalia</t>
  </si>
  <si>
    <t>South Africa</t>
  </si>
  <si>
    <t>Spain</t>
  </si>
  <si>
    <t>Sri Lanka</t>
  </si>
  <si>
    <t>St.Helena</t>
  </si>
  <si>
    <t>St.Kitts-Nev</t>
  </si>
  <si>
    <t>St.Lucia</t>
  </si>
  <si>
    <t>St.Pierre,Mq</t>
  </si>
  <si>
    <t>St.Vincent,G</t>
  </si>
  <si>
    <t>Sudan</t>
  </si>
  <si>
    <t>Suriname</t>
  </si>
  <si>
    <t>Swaziland</t>
  </si>
  <si>
    <t>Sweden</t>
  </si>
  <si>
    <t>Switz.Liecht</t>
  </si>
  <si>
    <t>Syrian A.R.</t>
  </si>
  <si>
    <t>Tajikistan</t>
  </si>
  <si>
    <t>Tanzania</t>
  </si>
  <si>
    <t>TFYR Macedna</t>
  </si>
  <si>
    <t>Thailand</t>
  </si>
  <si>
    <t>Togo</t>
  </si>
  <si>
    <t>Tokelau</t>
  </si>
  <si>
    <t>Tonga</t>
  </si>
  <si>
    <t>Trinidad Tbg</t>
  </si>
  <si>
    <t>Tunisia</t>
  </si>
  <si>
    <t>Turkey</t>
  </si>
  <si>
    <t>Turkmenistan</t>
  </si>
  <si>
    <t>Turks,Caicos</t>
  </si>
  <si>
    <t>Tuvalu</t>
  </si>
  <si>
    <t>Uganda</t>
  </si>
  <si>
    <t>Ukraine</t>
  </si>
  <si>
    <t>United States Minor Outlying Islands</t>
  </si>
  <si>
    <t>Untd Arab Em</t>
  </si>
  <si>
    <t>Untd.Kingdom</t>
  </si>
  <si>
    <t>Uruguay</t>
  </si>
  <si>
    <t>USA,PR,USVI</t>
  </si>
  <si>
    <t>Uzbekistan</t>
  </si>
  <si>
    <t>Vanuatu</t>
  </si>
  <si>
    <t>Venezuela</t>
  </si>
  <si>
    <t>Viet Nam</t>
  </si>
  <si>
    <t>Wallis Fut.I</t>
  </si>
  <si>
    <t>Westn.Sahara</t>
  </si>
  <si>
    <t>Yemen</t>
  </si>
  <si>
    <t>Yugoslavia</t>
  </si>
  <si>
    <t>Zambia</t>
  </si>
  <si>
    <t>Zimbabwe</t>
  </si>
  <si>
    <t>TotalTradeValueUSD_Export</t>
  </si>
  <si>
    <t>Unspecified</t>
  </si>
  <si>
    <t>Top 1 Export Share %</t>
  </si>
  <si>
    <t>Top 5 Export Share %</t>
  </si>
  <si>
    <t>Top 1 Import Share %</t>
  </si>
  <si>
    <t>Top 5 Import Share %</t>
  </si>
  <si>
    <t>TotalTradeValueUSD_Import</t>
  </si>
  <si>
    <t>Trade Structure and Balance Overview</t>
  </si>
  <si>
    <t>Source: UN COMTRADE | Values in USD</t>
  </si>
  <si>
    <t>Total Export (USD)</t>
  </si>
  <si>
    <t>Trade Balance (USD)</t>
  </si>
  <si>
    <t>Export YoY %</t>
  </si>
  <si>
    <t>Import YoY %</t>
  </si>
  <si>
    <t>Trade Balance YoY %</t>
  </si>
  <si>
    <t>Total Import (USD)</t>
  </si>
  <si>
    <t>Export-to-Import Ratio %</t>
  </si>
  <si>
    <t>Trade Concentration: Top 1 and Top 5 Partner Contributions</t>
  </si>
  <si>
    <t>T1E</t>
  </si>
  <si>
    <t>T5E</t>
  </si>
  <si>
    <t>T1I</t>
  </si>
  <si>
    <t>T5I</t>
  </si>
  <si>
    <t>Exports</t>
  </si>
  <si>
    <t>Imports</t>
  </si>
  <si>
    <t>Trade Balance</t>
  </si>
  <si>
    <t>Trade Partner Structure (Top Export and Import Partners)</t>
  </si>
  <si>
    <t>Source: UN COMTRADE | Values shown as % of Total Trade</t>
  </si>
  <si>
    <t>Export Concentration</t>
  </si>
  <si>
    <t>Import Concentration</t>
  </si>
  <si>
    <t>Top 5 Partner Share</t>
  </si>
  <si>
    <t>Largest Partner Share</t>
  </si>
  <si>
    <t>Trade Sector Composition</t>
  </si>
  <si>
    <t>Largest Sector Share</t>
  </si>
  <si>
    <t>Top 5 Sector Share</t>
  </si>
  <si>
    <t>TradeBalance</t>
  </si>
  <si>
    <t>Largest Surplus Sector</t>
  </si>
  <si>
    <t>Largest Deficit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</si>
</sst>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0"/>
    <numFmt numFmtId="166" formatCode="\$#,###.0,,,&quot; B&quot;"/>
    <numFmt numFmtId="167" formatCode="\$##,##0.0,,,&quot; B&quot;;\(\$##,##0.0,,,&quot; B&quot;\)"/>
  </numFmts>
  <fonts count="12" x14ac:knownFonts="1">
    <font>
      <sz val="11"/>
      <color theme="1"/>
      <name val="Aptos Narrow"/>
      <family val="2"/>
      <scheme val="minor"/>
    </font>
    <font>
      <sz val="16"/>
      <color theme="1"/>
      <name val="Roboto"/>
    </font>
    <font>
      <b/>
      <sz val="20"/>
      <color theme="1"/>
      <name val="Roboto Medium"/>
    </font>
    <font>
      <b/>
      <sz val="10"/>
      <color theme="1"/>
      <name val="Roboto"/>
    </font>
    <font>
      <sz val="11"/>
      <color theme="1"/>
      <name val="Aptos Narrow"/>
      <family val="2"/>
      <scheme val="minor"/>
    </font>
    <font>
      <sz val="10"/>
      <color theme="1"/>
      <name val="Roboto"/>
    </font>
    <font>
      <b/>
      <sz val="16"/>
      <color theme="1"/>
      <name val="Roboto"/>
    </font>
    <font>
      <sz val="11"/>
      <color theme="1"/>
      <name val="Roboto"/>
    </font>
    <font>
      <b/>
      <sz val="16"/>
      <color theme="4"/>
      <name val="Roboto"/>
    </font>
    <font>
      <b/>
      <sz val="16"/>
      <color theme="6"/>
      <name val="Roboto"/>
    </font>
    <font>
      <b/>
      <sz val="16"/>
      <color rgb="FFC00000"/>
      <name val="Roboto"/>
    </font>
    <font>
      <b/>
      <sz val="12"/>
      <color theme="1"/>
      <name val="Roboto"/>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0" fillId="0" borderId="0" xfId="0" applyAlignment="1">
      <alignment horizontal="left"/>
    </xf>
    <xf numFmtId="164" fontId="0" fillId="0" borderId="0" xfId="0" applyNumberFormat="1"/>
    <xf numFmtId="165" fontId="0" fillId="0" borderId="0" xfId="0" applyNumberFormat="1"/>
    <xf numFmtId="0" fontId="3" fillId="2" borderId="1" xfId="0" applyFont="1" applyFill="1" applyBorder="1" applyAlignment="1">
      <alignment horizontal="centerContinuous" vertical="center"/>
    </xf>
    <xf numFmtId="10" fontId="5" fillId="0" borderId="0" xfId="1" applyNumberFormat="1" applyFont="1" applyBorder="1" applyAlignment="1">
      <alignment horizontal="right" vertical="center"/>
    </xf>
    <xf numFmtId="0" fontId="3" fillId="2" borderId="1" xfId="0" applyFont="1" applyFill="1" applyBorder="1" applyAlignment="1">
      <alignment horizontal="center" vertical="center"/>
    </xf>
    <xf numFmtId="10" fontId="6" fillId="0" borderId="1" xfId="1" applyNumberFormat="1" applyFont="1" applyBorder="1" applyAlignment="1">
      <alignment horizontal="centerContinuous" vertical="center"/>
    </xf>
    <xf numFmtId="10" fontId="6" fillId="0" borderId="1" xfId="1" applyNumberFormat="1" applyFont="1" applyBorder="1" applyAlignment="1">
      <alignment horizontal="center" vertical="center"/>
    </xf>
    <xf numFmtId="10" fontId="6" fillId="0" borderId="0" xfId="1" applyNumberFormat="1" applyFont="1" applyBorder="1" applyAlignment="1">
      <alignment horizontal="centerContinuous" vertical="center"/>
    </xf>
    <xf numFmtId="166" fontId="8" fillId="0" borderId="1" xfId="0" applyNumberFormat="1" applyFont="1" applyBorder="1" applyAlignment="1">
      <alignment horizontal="centerContinuous" vertical="center"/>
    </xf>
    <xf numFmtId="166" fontId="9" fillId="0" borderId="1" xfId="0" applyNumberFormat="1" applyFont="1" applyBorder="1" applyAlignment="1">
      <alignment horizontal="centerContinuous" vertical="center"/>
    </xf>
    <xf numFmtId="0" fontId="7" fillId="0" borderId="0" xfId="0" applyFont="1" applyAlignment="1">
      <alignment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Continuous" vertical="center"/>
    </xf>
    <xf numFmtId="0" fontId="11" fillId="2" borderId="1" xfId="1" applyNumberFormat="1" applyFont="1" applyFill="1" applyBorder="1" applyAlignment="1">
      <alignment horizontal="centerContinuous" vertical="center"/>
    </xf>
    <xf numFmtId="10" fontId="0" fillId="0" borderId="0" xfId="0" applyNumberFormat="1"/>
    <xf numFmtId="0" fontId="5" fillId="0" borderId="1" xfId="0" applyFont="1" applyBorder="1" applyAlignment="1">
      <alignment horizontal="left" vertical="center"/>
    </xf>
    <xf numFmtId="0" fontId="3" fillId="2" borderId="1" xfId="0" applyFont="1" applyFill="1" applyBorder="1" applyAlignment="1">
      <alignment horizontal="left" vertical="center"/>
    </xf>
    <xf numFmtId="0" fontId="2" fillId="0" borderId="0" xfId="0" applyFont="1"/>
    <xf numFmtId="0" fontId="1" fillId="0" borderId="0" xfId="0" applyFont="1"/>
    <xf numFmtId="10" fontId="0" fillId="0" borderId="0" xfId="1" applyNumberFormat="1" applyFont="1"/>
    <xf numFmtId="0" fontId="5" fillId="0" borderId="0" xfId="0" applyFont="1" applyAlignment="1">
      <alignment vertical="center"/>
    </xf>
    <xf numFmtId="10" fontId="6" fillId="0" borderId="0" xfId="1" applyNumberFormat="1" applyFont="1" applyFill="1" applyBorder="1" applyAlignment="1">
      <alignment vertical="center"/>
    </xf>
    <xf numFmtId="10" fontId="6" fillId="0" borderId="0" xfId="0" applyNumberFormat="1" applyFont="1" applyAlignment="1">
      <alignment vertical="center"/>
    </xf>
    <xf numFmtId="167" fontId="0" fillId="0" borderId="0" xfId="0" applyNumberFormat="1"/>
    <xf numFmtId="167" fontId="10" fillId="0" borderId="1" xfId="0" applyNumberFormat="1" applyFont="1" applyBorder="1" applyAlignment="1">
      <alignment horizontal="centerContinuous" vertical="center"/>
    </xf>
    <xf numFmtId="10" fontId="6" fillId="0" borderId="0" xfId="1" applyNumberFormat="1" applyFont="1" applyFill="1" applyBorder="1" applyAlignment="1" applyProtection="1">
      <alignment vertical="center"/>
    </xf>
    <xf numFmtId="0" fontId="0" fillId="0" borderId="0" xfId="0" applyProtection="1">
      <protection locked="0"/>
    </xf>
    <xf numFmtId="0" fontId="3" fillId="2" borderId="1" xfId="0" applyFont="1" applyFill="1" applyBorder="1" applyAlignment="1">
      <alignment horizontal="center" vertical="center"/>
    </xf>
    <xf numFmtId="0" fontId="2" fillId="0" borderId="0" xfId="0" applyFont="1" applyAlignment="1">
      <alignment vertical="center"/>
    </xf>
    <xf numFmtId="0" fontId="1" fillId="0" borderId="0" xfId="0" applyFont="1" applyAlignment="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11" fillId="2" borderId="1" xfId="0" applyFont="1" applyFill="1" applyBorder="1" applyAlignment="1">
      <alignment horizontal="center" vertical="center"/>
    </xf>
    <xf numFmtId="10" fontId="6" fillId="0" borderId="1" xfId="1" applyNumberFormat="1" applyFont="1" applyBorder="1" applyAlignment="1">
      <alignment horizontal="center" vertical="center"/>
    </xf>
    <xf numFmtId="10" fontId="6" fillId="0" borderId="1" xfId="0" applyNumberFormat="1" applyFont="1" applyBorder="1" applyAlignment="1">
      <alignment horizontal="center" vertical="center"/>
    </xf>
    <xf numFmtId="0" fontId="3" fillId="2" borderId="1" xfId="0" applyFont="1" applyFill="1" applyBorder="1" applyAlignment="1">
      <alignment horizontal="left" vertical="center"/>
    </xf>
    <xf numFmtId="167" fontId="6" fillId="0" borderId="1" xfId="0" applyNumberFormat="1" applyFont="1" applyBorder="1" applyAlignment="1">
      <alignment horizontal="center" vertical="center"/>
    </xf>
  </cellXfs>
  <cellStyles count="2">
    <cellStyle name="Normal" xfId="0" builtinId="0"/>
    <cellStyle name="Percent" xfId="1" builtinId="5"/>
  </cellStyles>
  <dxfs count="0"/>
  <tableStyles count="1" defaultTableStyle="TableStyleMedium2" defaultPivotStyle="PivotStyleLight16">
    <tableStyle name="Invisible" pivot="0" table="0" count="0" xr9:uid="{9C856253-43E5-4411-BA11-1867F844C5E5}"/>
  </tableStyles>
  <colors>
    <mruColors>
      <color rgb="FFC05000"/>
      <color rgb="FF0070C0"/>
      <color rgb="FF547211"/>
      <color rgb="FF721154"/>
      <color rgb="FF722F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2.xml"/><Relationship Id="rId71" Type="http://schemas.openxmlformats.org/officeDocument/2006/relationships/customXml" Target="../customXml/item45.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35.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72"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70"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PH" sz="1600" b="1"/>
              <a:t>Top Export Partners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Pivot_Backend!$M$3:$M$12</c:f>
              <c:strCache>
                <c:ptCount val="10"/>
                <c:pt idx="0">
                  <c:v>Asia Othr.ns</c:v>
                </c:pt>
                <c:pt idx="1">
                  <c:v>Netherlands</c:v>
                </c:pt>
                <c:pt idx="2">
                  <c:v>Germany</c:v>
                </c:pt>
                <c:pt idx="3">
                  <c:v>Thailand</c:v>
                </c:pt>
                <c:pt idx="4">
                  <c:v>Korea Rep.</c:v>
                </c:pt>
                <c:pt idx="5">
                  <c:v>Singapore</c:v>
                </c:pt>
                <c:pt idx="6">
                  <c:v>Hong Kong</c:v>
                </c:pt>
                <c:pt idx="7">
                  <c:v>China</c:v>
                </c:pt>
                <c:pt idx="8">
                  <c:v>Japan</c:v>
                </c:pt>
                <c:pt idx="9">
                  <c:v>USA,PR,USVI</c:v>
                </c:pt>
              </c:strCache>
            </c:strRef>
          </c:cat>
          <c:val>
            <c:numRef>
              <c:f>Pivot_Backend!$O$3:$O$12</c:f>
              <c:numCache>
                <c:formatCode>0.00%</c:formatCode>
                <c:ptCount val="10"/>
                <c:pt idx="0">
                  <c:v>#N/A</c:v>
                </c:pt>
                <c:pt idx="1">
                  <c:v>#N/A</c:v>
                </c:pt>
                <c:pt idx="2">
                  <c:v>#N/A</c:v>
                </c:pt>
                <c:pt idx="3">
                  <c:v>#N/A</c:v>
                </c:pt>
                <c:pt idx="4">
                  <c:v>#N/A</c:v>
                </c:pt>
                <c:pt idx="5">
                  <c:v>#N/A</c:v>
                </c:pt>
                <c:pt idx="6">
                  <c:v>#N/A</c:v>
                </c:pt>
                <c:pt idx="7">
                  <c:v>#N/A</c:v>
                </c:pt>
                <c:pt idx="8">
                  <c:v>#N/A</c:v>
                </c:pt>
                <c:pt idx="9">
                  <c:v>0.15952172495864914</c:v>
                </c:pt>
              </c:numCache>
            </c:numRef>
          </c:val>
          <c:extLst>
            <c:ext xmlns:c16="http://schemas.microsoft.com/office/drawing/2014/chart" uri="{C3380CC4-5D6E-409C-BE32-E72D297353CC}">
              <c16:uniqueId val="{00000000-85E0-4472-946A-93E20DD70B07}"/>
            </c:ext>
          </c:extLst>
        </c:ser>
        <c:ser>
          <c:idx val="1"/>
          <c:order val="1"/>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Pivot_Backend!$M$3:$M$12</c:f>
              <c:strCache>
                <c:ptCount val="10"/>
                <c:pt idx="0">
                  <c:v>Asia Othr.ns</c:v>
                </c:pt>
                <c:pt idx="1">
                  <c:v>Netherlands</c:v>
                </c:pt>
                <c:pt idx="2">
                  <c:v>Germany</c:v>
                </c:pt>
                <c:pt idx="3">
                  <c:v>Thailand</c:v>
                </c:pt>
                <c:pt idx="4">
                  <c:v>Korea Rep.</c:v>
                </c:pt>
                <c:pt idx="5">
                  <c:v>Singapore</c:v>
                </c:pt>
                <c:pt idx="6">
                  <c:v>Hong Kong</c:v>
                </c:pt>
                <c:pt idx="7">
                  <c:v>China</c:v>
                </c:pt>
                <c:pt idx="8">
                  <c:v>Japan</c:v>
                </c:pt>
                <c:pt idx="9">
                  <c:v>USA,PR,USVI</c:v>
                </c:pt>
              </c:strCache>
            </c:strRef>
          </c:cat>
          <c:val>
            <c:numRef>
              <c:f>Pivot_Backend!$P$3:$P$12</c:f>
              <c:numCache>
                <c:formatCode>0.00%</c:formatCode>
                <c:ptCount val="10"/>
                <c:pt idx="0">
                  <c:v>3.4825568217937281E-2</c:v>
                </c:pt>
                <c:pt idx="1">
                  <c:v>3.519893968470339E-2</c:v>
                </c:pt>
                <c:pt idx="2">
                  <c:v>3.6164311456373638E-2</c:v>
                </c:pt>
                <c:pt idx="3">
                  <c:v>4.2606122035182187E-2</c:v>
                </c:pt>
                <c:pt idx="4">
                  <c:v>4.3250087350210943E-2</c:v>
                </c:pt>
                <c:pt idx="5">
                  <c:v>5.3182538303761365E-2</c:v>
                </c:pt>
                <c:pt idx="6">
                  <c:v>0.13231111340783128</c:v>
                </c:pt>
                <c:pt idx="7">
                  <c:v>0.14281988284085059</c:v>
                </c:pt>
                <c:pt idx="8">
                  <c:v>0.1451004476699668</c:v>
                </c:pt>
                <c:pt idx="9">
                  <c:v>#N/A</c:v>
                </c:pt>
              </c:numCache>
            </c:numRef>
          </c:val>
          <c:extLst>
            <c:ext xmlns:c16="http://schemas.microsoft.com/office/drawing/2014/chart" uri="{C3380CC4-5D6E-409C-BE32-E72D297353CC}">
              <c16:uniqueId val="{00000001-85E0-4472-946A-93E20DD70B07}"/>
            </c:ext>
          </c:extLst>
        </c:ser>
        <c:dLbls>
          <c:dLblPos val="outEnd"/>
          <c:showLegendKey val="0"/>
          <c:showVal val="1"/>
          <c:showCatName val="0"/>
          <c:showSerName val="0"/>
          <c:showPercent val="0"/>
          <c:showBubbleSize val="0"/>
        </c:dLbls>
        <c:gapWidth val="182"/>
        <c:axId val="103547103"/>
        <c:axId val="103539903"/>
      </c:barChart>
      <c:catAx>
        <c:axId val="10354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39903"/>
        <c:crosses val="autoZero"/>
        <c:auto val="1"/>
        <c:lblAlgn val="ctr"/>
        <c:lblOffset val="100"/>
        <c:noMultiLvlLbl val="0"/>
      </c:catAx>
      <c:valAx>
        <c:axId val="103539903"/>
        <c:scaling>
          <c:orientation val="minMax"/>
          <c:max val="0.30000000000000004"/>
        </c:scaling>
        <c:delete val="1"/>
        <c:axPos val="b"/>
        <c:numFmt formatCode="0.00%" sourceLinked="1"/>
        <c:majorTickMark val="none"/>
        <c:minorTickMark val="none"/>
        <c:tickLblPos val="nextTo"/>
        <c:crossAx val="10354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PH" sz="1600" b="1"/>
              <a:t>Top Import Sources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Pivot_Backend!$T$3:$T$12</c:f>
              <c:strCache>
                <c:ptCount val="10"/>
                <c:pt idx="0">
                  <c:v>Viet Nam</c:v>
                </c:pt>
                <c:pt idx="1">
                  <c:v>Asia Othr.ns</c:v>
                </c:pt>
                <c:pt idx="2">
                  <c:v>Malaysia</c:v>
                </c:pt>
                <c:pt idx="3">
                  <c:v>Singapore</c:v>
                </c:pt>
                <c:pt idx="4">
                  <c:v>Thailand</c:v>
                </c:pt>
                <c:pt idx="5">
                  <c:v>USA,PR,USVI</c:v>
                </c:pt>
                <c:pt idx="6">
                  <c:v>Korea Rep.</c:v>
                </c:pt>
                <c:pt idx="7">
                  <c:v>Indonesia</c:v>
                </c:pt>
                <c:pt idx="8">
                  <c:v>Japan</c:v>
                </c:pt>
                <c:pt idx="9">
                  <c:v>China</c:v>
                </c:pt>
              </c:strCache>
            </c:strRef>
          </c:cat>
          <c:val>
            <c:numRef>
              <c:f>Pivot_Backend!$V$3:$V$12</c:f>
              <c:numCache>
                <c:formatCode>0.00%</c:formatCode>
                <c:ptCount val="10"/>
                <c:pt idx="0">
                  <c:v>#N/A</c:v>
                </c:pt>
                <c:pt idx="1">
                  <c:v>#N/A</c:v>
                </c:pt>
                <c:pt idx="2">
                  <c:v>#N/A</c:v>
                </c:pt>
                <c:pt idx="3">
                  <c:v>#N/A</c:v>
                </c:pt>
                <c:pt idx="4">
                  <c:v>#N/A</c:v>
                </c:pt>
                <c:pt idx="5">
                  <c:v>#N/A</c:v>
                </c:pt>
                <c:pt idx="6">
                  <c:v>#N/A</c:v>
                </c:pt>
                <c:pt idx="7">
                  <c:v>#N/A</c:v>
                </c:pt>
                <c:pt idx="8">
                  <c:v>#N/A</c:v>
                </c:pt>
                <c:pt idx="9">
                  <c:v>0.22923443743758815</c:v>
                </c:pt>
              </c:numCache>
            </c:numRef>
          </c:val>
          <c:extLst>
            <c:ext xmlns:c16="http://schemas.microsoft.com/office/drawing/2014/chart" uri="{C3380CC4-5D6E-409C-BE32-E72D297353CC}">
              <c16:uniqueId val="{00000000-D52B-4206-9FF9-0B92EF385101}"/>
            </c:ext>
          </c:extLst>
        </c:ser>
        <c:ser>
          <c:idx val="1"/>
          <c:order val="1"/>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Pivot_Backend!$T$3:$T$12</c:f>
              <c:strCache>
                <c:ptCount val="10"/>
                <c:pt idx="0">
                  <c:v>Viet Nam</c:v>
                </c:pt>
                <c:pt idx="1">
                  <c:v>Asia Othr.ns</c:v>
                </c:pt>
                <c:pt idx="2">
                  <c:v>Malaysia</c:v>
                </c:pt>
                <c:pt idx="3">
                  <c:v>Singapore</c:v>
                </c:pt>
                <c:pt idx="4">
                  <c:v>Thailand</c:v>
                </c:pt>
                <c:pt idx="5">
                  <c:v>USA,PR,USVI</c:v>
                </c:pt>
                <c:pt idx="6">
                  <c:v>Korea Rep.</c:v>
                </c:pt>
                <c:pt idx="7">
                  <c:v>Indonesia</c:v>
                </c:pt>
                <c:pt idx="8">
                  <c:v>Japan</c:v>
                </c:pt>
                <c:pt idx="9">
                  <c:v>China</c:v>
                </c:pt>
              </c:strCache>
            </c:strRef>
          </c:cat>
          <c:val>
            <c:numRef>
              <c:f>Pivot_Backend!$W$3:$W$12</c:f>
              <c:numCache>
                <c:formatCode>0.00%</c:formatCode>
                <c:ptCount val="10"/>
                <c:pt idx="0">
                  <c:v>3.6127871132006356E-2</c:v>
                </c:pt>
                <c:pt idx="1">
                  <c:v>4.2740630375912345E-2</c:v>
                </c:pt>
                <c:pt idx="2">
                  <c:v>4.5100300435948829E-2</c:v>
                </c:pt>
                <c:pt idx="3">
                  <c:v>5.5789121060807939E-2</c:v>
                </c:pt>
                <c:pt idx="4">
                  <c:v>5.76388789563844E-2</c:v>
                </c:pt>
                <c:pt idx="5">
                  <c:v>6.9071270212745103E-2</c:v>
                </c:pt>
                <c:pt idx="6">
                  <c:v>7.6226285860901286E-2</c:v>
                </c:pt>
                <c:pt idx="7">
                  <c:v>7.9817355768311296E-2</c:v>
                </c:pt>
                <c:pt idx="8">
                  <c:v>8.9120931286819374E-2</c:v>
                </c:pt>
                <c:pt idx="9">
                  <c:v>#N/A</c:v>
                </c:pt>
              </c:numCache>
            </c:numRef>
          </c:val>
          <c:extLst>
            <c:ext xmlns:c16="http://schemas.microsoft.com/office/drawing/2014/chart" uri="{C3380CC4-5D6E-409C-BE32-E72D297353CC}">
              <c16:uniqueId val="{00000001-D52B-4206-9FF9-0B92EF385101}"/>
            </c:ext>
          </c:extLst>
        </c:ser>
        <c:dLbls>
          <c:dLblPos val="outEnd"/>
          <c:showLegendKey val="0"/>
          <c:showVal val="1"/>
          <c:showCatName val="0"/>
          <c:showSerName val="0"/>
          <c:showPercent val="0"/>
          <c:showBubbleSize val="0"/>
        </c:dLbls>
        <c:gapWidth val="182"/>
        <c:axId val="103482783"/>
        <c:axId val="103498143"/>
      </c:barChart>
      <c:catAx>
        <c:axId val="10348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98143"/>
        <c:crosses val="autoZero"/>
        <c:auto val="1"/>
        <c:lblAlgn val="ctr"/>
        <c:lblOffset val="100"/>
        <c:noMultiLvlLbl val="0"/>
      </c:catAx>
      <c:valAx>
        <c:axId val="103498143"/>
        <c:scaling>
          <c:orientation val="minMax"/>
          <c:max val="0.30000000000000004"/>
        </c:scaling>
        <c:delete val="1"/>
        <c:axPos val="b"/>
        <c:numFmt formatCode="0.00%" sourceLinked="1"/>
        <c:majorTickMark val="none"/>
        <c:minorTickMark val="none"/>
        <c:tickLblPos val="nextTo"/>
        <c:crossAx val="10348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a:t>Export Sector Composition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Pivot_Backend!$AA$3:$AA$17</c:f>
              <c:strCache>
                <c:ptCount val="15"/>
                <c:pt idx="0">
                  <c:v>Footwear/Headgear</c:v>
                </c:pt>
                <c:pt idx="1">
                  <c:v>Animal &amp; Animal Products</c:v>
                </c:pt>
                <c:pt idx="2">
                  <c:v>Raw Hides, Skins, Leather, &amp; Furs</c:v>
                </c:pt>
                <c:pt idx="3">
                  <c:v>Wood and Wood Products</c:v>
                </c:pt>
                <c:pt idx="4">
                  <c:v>Textiles</c:v>
                </c:pt>
                <c:pt idx="5">
                  <c:v>Chemicals and Allied Industries</c:v>
                </c:pt>
                <c:pt idx="6">
                  <c:v>Plastics/Rubbers</c:v>
                </c:pt>
                <c:pt idx="7">
                  <c:v>Stone/Glass</c:v>
                </c:pt>
                <c:pt idx="8">
                  <c:v>Transportation</c:v>
                </c:pt>
                <c:pt idx="9">
                  <c:v>Foodstuffs</c:v>
                </c:pt>
                <c:pt idx="10">
                  <c:v>Mineral Products</c:v>
                </c:pt>
                <c:pt idx="11">
                  <c:v>Miscellaneous</c:v>
                </c:pt>
                <c:pt idx="12">
                  <c:v>Metals</c:v>
                </c:pt>
                <c:pt idx="13">
                  <c:v>Vegetable Products</c:v>
                </c:pt>
                <c:pt idx="14">
                  <c:v>Machinery/Electrical</c:v>
                </c:pt>
              </c:strCache>
            </c:strRef>
          </c:cat>
          <c:val>
            <c:numRef>
              <c:f>Pivot_Backend!$AC$3:$AC$17</c:f>
              <c:numCache>
                <c:formatCode>0.00%</c:formatCode>
                <c:ptCount val="1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0.63654360919586939</c:v>
                </c:pt>
              </c:numCache>
            </c:numRef>
          </c:val>
          <c:extLst>
            <c:ext xmlns:c16="http://schemas.microsoft.com/office/drawing/2014/chart" uri="{C3380CC4-5D6E-409C-BE32-E72D297353CC}">
              <c16:uniqueId val="{00000000-2136-40B4-BED2-DB9654135E87}"/>
            </c:ext>
          </c:extLst>
        </c:ser>
        <c:ser>
          <c:idx val="1"/>
          <c:order val="1"/>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Pivot_Backend!$AA$3:$AA$17</c:f>
              <c:strCache>
                <c:ptCount val="15"/>
                <c:pt idx="0">
                  <c:v>Footwear/Headgear</c:v>
                </c:pt>
                <c:pt idx="1">
                  <c:v>Animal &amp; Animal Products</c:v>
                </c:pt>
                <c:pt idx="2">
                  <c:v>Raw Hides, Skins, Leather, &amp; Furs</c:v>
                </c:pt>
                <c:pt idx="3">
                  <c:v>Wood and Wood Products</c:v>
                </c:pt>
                <c:pt idx="4">
                  <c:v>Textiles</c:v>
                </c:pt>
                <c:pt idx="5">
                  <c:v>Chemicals and Allied Industries</c:v>
                </c:pt>
                <c:pt idx="6">
                  <c:v>Plastics/Rubbers</c:v>
                </c:pt>
                <c:pt idx="7">
                  <c:v>Stone/Glass</c:v>
                </c:pt>
                <c:pt idx="8">
                  <c:v>Transportation</c:v>
                </c:pt>
                <c:pt idx="9">
                  <c:v>Foodstuffs</c:v>
                </c:pt>
                <c:pt idx="10">
                  <c:v>Mineral Products</c:v>
                </c:pt>
                <c:pt idx="11">
                  <c:v>Miscellaneous</c:v>
                </c:pt>
                <c:pt idx="12">
                  <c:v>Metals</c:v>
                </c:pt>
                <c:pt idx="13">
                  <c:v>Vegetable Products</c:v>
                </c:pt>
                <c:pt idx="14">
                  <c:v>Machinery/Electrical</c:v>
                </c:pt>
              </c:strCache>
            </c:strRef>
          </c:cat>
          <c:val>
            <c:numRef>
              <c:f>Pivot_Backend!$AD$3:$AD$17</c:f>
              <c:numCache>
                <c:formatCode>0.00%</c:formatCode>
                <c:ptCount val="15"/>
                <c:pt idx="0">
                  <c:v>2.1762670257160365E-3</c:v>
                </c:pt>
                <c:pt idx="1">
                  <c:v>5.86877391973014E-3</c:v>
                </c:pt>
                <c:pt idx="2">
                  <c:v>9.4478372726585162E-3</c:v>
                </c:pt>
                <c:pt idx="3">
                  <c:v>1.1502726627537747E-2</c:v>
                </c:pt>
                <c:pt idx="4">
                  <c:v>1.4071149510443014E-2</c:v>
                </c:pt>
                <c:pt idx="5">
                  <c:v>1.7059164841458592E-2</c:v>
                </c:pt>
                <c:pt idx="6">
                  <c:v>2.2486610587123857E-2</c:v>
                </c:pt>
                <c:pt idx="7">
                  <c:v>2.3516646322745978E-2</c:v>
                </c:pt>
                <c:pt idx="8">
                  <c:v>2.7998608080235333E-2</c:v>
                </c:pt>
                <c:pt idx="9">
                  <c:v>3.4120973628364998E-2</c:v>
                </c:pt>
                <c:pt idx="10">
                  <c:v>4.1325936582422299E-2</c:v>
                </c:pt>
                <c:pt idx="11">
                  <c:v>4.7618513738481631E-2</c:v>
                </c:pt>
                <c:pt idx="12">
                  <c:v>5.1073287617053001E-2</c:v>
                </c:pt>
                <c:pt idx="13">
                  <c:v>5.5189895050159511E-2</c:v>
                </c:pt>
                <c:pt idx="14">
                  <c:v>#N/A</c:v>
                </c:pt>
              </c:numCache>
            </c:numRef>
          </c:val>
          <c:extLst>
            <c:ext xmlns:c16="http://schemas.microsoft.com/office/drawing/2014/chart" uri="{C3380CC4-5D6E-409C-BE32-E72D297353CC}">
              <c16:uniqueId val="{00000001-2136-40B4-BED2-DB9654135E87}"/>
            </c:ext>
          </c:extLst>
        </c:ser>
        <c:dLbls>
          <c:dLblPos val="outEnd"/>
          <c:showLegendKey val="0"/>
          <c:showVal val="1"/>
          <c:showCatName val="0"/>
          <c:showSerName val="0"/>
          <c:showPercent val="0"/>
          <c:showBubbleSize val="0"/>
        </c:dLbls>
        <c:gapWidth val="182"/>
        <c:axId val="375553152"/>
        <c:axId val="375553632"/>
      </c:barChart>
      <c:catAx>
        <c:axId val="37555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53632"/>
        <c:crosses val="autoZero"/>
        <c:auto val="1"/>
        <c:lblAlgn val="ctr"/>
        <c:lblOffset val="100"/>
        <c:noMultiLvlLbl val="0"/>
      </c:catAx>
      <c:valAx>
        <c:axId val="375553632"/>
        <c:scaling>
          <c:orientation val="minMax"/>
          <c:max val="0.70000000000000007"/>
          <c:min val="0"/>
        </c:scaling>
        <c:delete val="1"/>
        <c:axPos val="b"/>
        <c:numFmt formatCode="0.00%" sourceLinked="1"/>
        <c:majorTickMark val="out"/>
        <c:minorTickMark val="none"/>
        <c:tickLblPos val="nextTo"/>
        <c:crossAx val="3755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a:t>Import Sector Composition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Pivot_Backend!$AA$21:$AA$35</c:f>
              <c:strCache>
                <c:ptCount val="15"/>
                <c:pt idx="0">
                  <c:v>Raw Hides, Skins, Leather, &amp; Furs</c:v>
                </c:pt>
                <c:pt idx="1">
                  <c:v>Footwear/Headgear</c:v>
                </c:pt>
                <c:pt idx="2">
                  <c:v>Stone/Glass</c:v>
                </c:pt>
                <c:pt idx="3">
                  <c:v>Textiles</c:v>
                </c:pt>
                <c:pt idx="4">
                  <c:v>Wood and Wood Products</c:v>
                </c:pt>
                <c:pt idx="5">
                  <c:v>Animal &amp; Animal Products</c:v>
                </c:pt>
                <c:pt idx="6">
                  <c:v>Plastics/Rubbers</c:v>
                </c:pt>
                <c:pt idx="7">
                  <c:v>Miscellaneous</c:v>
                </c:pt>
                <c:pt idx="8">
                  <c:v>Vegetable Products</c:v>
                </c:pt>
                <c:pt idx="9">
                  <c:v>Foodstuffs</c:v>
                </c:pt>
                <c:pt idx="10">
                  <c:v>Metals</c:v>
                </c:pt>
                <c:pt idx="11">
                  <c:v>Chemicals and Allied Industries</c:v>
                </c:pt>
                <c:pt idx="12">
                  <c:v>Transportation</c:v>
                </c:pt>
                <c:pt idx="13">
                  <c:v>Mineral Products</c:v>
                </c:pt>
                <c:pt idx="14">
                  <c:v>Machinery/Electrical</c:v>
                </c:pt>
              </c:strCache>
            </c:strRef>
          </c:cat>
          <c:val>
            <c:numRef>
              <c:f>Pivot_Backend!$AC$21:$AC$35</c:f>
              <c:numCache>
                <c:formatCode>0.00%</c:formatCode>
                <c:ptCount val="1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0.32234027781003</c:v>
                </c:pt>
              </c:numCache>
            </c:numRef>
          </c:val>
          <c:extLst>
            <c:ext xmlns:c16="http://schemas.microsoft.com/office/drawing/2014/chart" uri="{C3380CC4-5D6E-409C-BE32-E72D297353CC}">
              <c16:uniqueId val="{00000000-A472-4490-AFA6-ECF0DADF7CCF}"/>
            </c:ext>
          </c:extLst>
        </c:ser>
        <c:ser>
          <c:idx val="1"/>
          <c:order val="1"/>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Pivot_Backend!$AA$21:$AA$35</c:f>
              <c:strCache>
                <c:ptCount val="15"/>
                <c:pt idx="0">
                  <c:v>Raw Hides, Skins, Leather, &amp; Furs</c:v>
                </c:pt>
                <c:pt idx="1">
                  <c:v>Footwear/Headgear</c:v>
                </c:pt>
                <c:pt idx="2">
                  <c:v>Stone/Glass</c:v>
                </c:pt>
                <c:pt idx="3">
                  <c:v>Textiles</c:v>
                </c:pt>
                <c:pt idx="4">
                  <c:v>Wood and Wood Products</c:v>
                </c:pt>
                <c:pt idx="5">
                  <c:v>Animal &amp; Animal Products</c:v>
                </c:pt>
                <c:pt idx="6">
                  <c:v>Plastics/Rubbers</c:v>
                </c:pt>
                <c:pt idx="7">
                  <c:v>Miscellaneous</c:v>
                </c:pt>
                <c:pt idx="8">
                  <c:v>Vegetable Products</c:v>
                </c:pt>
                <c:pt idx="9">
                  <c:v>Foodstuffs</c:v>
                </c:pt>
                <c:pt idx="10">
                  <c:v>Metals</c:v>
                </c:pt>
                <c:pt idx="11">
                  <c:v>Chemicals and Allied Industries</c:v>
                </c:pt>
                <c:pt idx="12">
                  <c:v>Transportation</c:v>
                </c:pt>
                <c:pt idx="13">
                  <c:v>Mineral Products</c:v>
                </c:pt>
                <c:pt idx="14">
                  <c:v>Machinery/Electrical</c:v>
                </c:pt>
              </c:strCache>
            </c:strRef>
          </c:cat>
          <c:val>
            <c:numRef>
              <c:f>Pivot_Backend!$AD$21:$AD$35</c:f>
              <c:numCache>
                <c:formatCode>0.00%</c:formatCode>
                <c:ptCount val="15"/>
                <c:pt idx="0">
                  <c:v>3.3323153088592392E-3</c:v>
                </c:pt>
                <c:pt idx="1">
                  <c:v>4.3147764078373249E-3</c:v>
                </c:pt>
                <c:pt idx="2">
                  <c:v>1.4348480036465388E-2</c:v>
                </c:pt>
                <c:pt idx="3">
                  <c:v>1.720047419582028E-2</c:v>
                </c:pt>
                <c:pt idx="4">
                  <c:v>2.0011589287456978E-2</c:v>
                </c:pt>
                <c:pt idx="5">
                  <c:v>2.9876003091720865E-2</c:v>
                </c:pt>
                <c:pt idx="6">
                  <c:v>3.9904068432653754E-2</c:v>
                </c:pt>
                <c:pt idx="7">
                  <c:v>4.0087011223512638E-2</c:v>
                </c:pt>
                <c:pt idx="8">
                  <c:v>5.3738036056220601E-2</c:v>
                </c:pt>
                <c:pt idx="9">
                  <c:v>5.7644039854884824E-2</c:v>
                </c:pt>
                <c:pt idx="10">
                  <c:v>7.2887000525765799E-2</c:v>
                </c:pt>
                <c:pt idx="11">
                  <c:v>7.7927492944583926E-2</c:v>
                </c:pt>
                <c:pt idx="12">
                  <c:v>8.5047831111812952E-2</c:v>
                </c:pt>
                <c:pt idx="13">
                  <c:v>0.16134060371237541</c:v>
                </c:pt>
                <c:pt idx="14">
                  <c:v>#N/A</c:v>
                </c:pt>
              </c:numCache>
            </c:numRef>
          </c:val>
          <c:extLst>
            <c:ext xmlns:c16="http://schemas.microsoft.com/office/drawing/2014/chart" uri="{C3380CC4-5D6E-409C-BE32-E72D297353CC}">
              <c16:uniqueId val="{00000001-A472-4490-AFA6-ECF0DADF7CCF}"/>
            </c:ext>
          </c:extLst>
        </c:ser>
        <c:dLbls>
          <c:dLblPos val="outEnd"/>
          <c:showLegendKey val="0"/>
          <c:showVal val="1"/>
          <c:showCatName val="0"/>
          <c:showSerName val="0"/>
          <c:showPercent val="0"/>
          <c:showBubbleSize val="0"/>
        </c:dLbls>
        <c:gapWidth val="182"/>
        <c:axId val="656252720"/>
        <c:axId val="656250320"/>
      </c:barChart>
      <c:catAx>
        <c:axId val="65625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50320"/>
        <c:crosses val="autoZero"/>
        <c:auto val="1"/>
        <c:lblAlgn val="ctr"/>
        <c:lblOffset val="100"/>
        <c:noMultiLvlLbl val="0"/>
      </c:catAx>
      <c:valAx>
        <c:axId val="656250320"/>
        <c:scaling>
          <c:orientation val="minMax"/>
          <c:max val="0.70000000000000007"/>
        </c:scaling>
        <c:delete val="1"/>
        <c:axPos val="b"/>
        <c:numFmt formatCode="0.00%" sourceLinked="1"/>
        <c:majorTickMark val="none"/>
        <c:minorTickMark val="none"/>
        <c:tickLblPos val="nextTo"/>
        <c:crossAx val="65625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PH"/>
              <a:t>Sector-level</a:t>
            </a:r>
            <a:r>
              <a:rPr lang="en-PH" baseline="0"/>
              <a:t> Trade Balance (Exports - Imports)</a:t>
            </a:r>
            <a:endParaRPr lang="en-PH"/>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bar"/>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Pivot_Backend!$AH$3:$AH$17</c:f>
              <c:strCache>
                <c:ptCount val="15"/>
                <c:pt idx="0">
                  <c:v>Mineral Products</c:v>
                </c:pt>
                <c:pt idx="1">
                  <c:v>Transportation</c:v>
                </c:pt>
                <c:pt idx="2">
                  <c:v>Chemicals and Allied Industries</c:v>
                </c:pt>
                <c:pt idx="3">
                  <c:v>Metals</c:v>
                </c:pt>
                <c:pt idx="4">
                  <c:v>Foodstuffs</c:v>
                </c:pt>
                <c:pt idx="5">
                  <c:v>Plastics/Rubbers</c:v>
                </c:pt>
                <c:pt idx="6">
                  <c:v>Animal &amp; Animal Products</c:v>
                </c:pt>
                <c:pt idx="7">
                  <c:v>Vegetable Products</c:v>
                </c:pt>
                <c:pt idx="8">
                  <c:v>Wood and Wood Products</c:v>
                </c:pt>
                <c:pt idx="9">
                  <c:v>Miscellaneous</c:v>
                </c:pt>
                <c:pt idx="10">
                  <c:v>Textiles</c:v>
                </c:pt>
                <c:pt idx="11">
                  <c:v>Footwear/Headgear</c:v>
                </c:pt>
                <c:pt idx="12">
                  <c:v>Stone/Glass</c:v>
                </c:pt>
                <c:pt idx="13">
                  <c:v>Raw Hides, Skins, Leather, &amp; Furs</c:v>
                </c:pt>
                <c:pt idx="14">
                  <c:v>Machinery/Electrical</c:v>
                </c:pt>
              </c:strCache>
            </c:strRef>
          </c:cat>
          <c:val>
            <c:numRef>
              <c:f>Pivot_Backend!$AJ$3:$AJ$17</c:f>
              <c:numCache>
                <c:formatCode>\$##,##0.0,,," B";\(\$##,##0.0,,," B"\)</c:formatCode>
                <c:ptCount val="15"/>
                <c:pt idx="0">
                  <c:v>#N/A</c:v>
                </c:pt>
                <c:pt idx="1">
                  <c:v>#N/A</c:v>
                </c:pt>
                <c:pt idx="2">
                  <c:v>#N/A</c:v>
                </c:pt>
                <c:pt idx="3">
                  <c:v>#N/A</c:v>
                </c:pt>
                <c:pt idx="4">
                  <c:v>#N/A</c:v>
                </c:pt>
                <c:pt idx="5">
                  <c:v>#N/A</c:v>
                </c:pt>
                <c:pt idx="6">
                  <c:v>#N/A</c:v>
                </c:pt>
                <c:pt idx="7">
                  <c:v>#N/A</c:v>
                </c:pt>
                <c:pt idx="8">
                  <c:v>#N/A</c:v>
                </c:pt>
                <c:pt idx="9">
                  <c:v>#N/A</c:v>
                </c:pt>
                <c:pt idx="10">
                  <c:v>#N/A</c:v>
                </c:pt>
                <c:pt idx="11">
                  <c:v>#N/A</c:v>
                </c:pt>
                <c:pt idx="12">
                  <c:v>#N/A</c:v>
                </c:pt>
                <c:pt idx="13">
                  <c:v>1612150723</c:v>
                </c:pt>
                <c:pt idx="14">
                  <c:v>35128497620</c:v>
                </c:pt>
              </c:numCache>
            </c:numRef>
          </c:val>
          <c:extLst>
            <c:ext xmlns:c16="http://schemas.microsoft.com/office/drawing/2014/chart" uri="{C3380CC4-5D6E-409C-BE32-E72D297353CC}">
              <c16:uniqueId val="{00000000-A365-4DE4-B79F-7E18B2CC0A0C}"/>
            </c:ext>
          </c:extLst>
        </c:ser>
        <c:ser>
          <c:idx val="1"/>
          <c:order val="1"/>
          <c:spPr>
            <a:solidFill>
              <a:srgbClr val="C05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Pivot_Backend!$AH$3:$AH$17</c:f>
              <c:strCache>
                <c:ptCount val="15"/>
                <c:pt idx="0">
                  <c:v>Mineral Products</c:v>
                </c:pt>
                <c:pt idx="1">
                  <c:v>Transportation</c:v>
                </c:pt>
                <c:pt idx="2">
                  <c:v>Chemicals and Allied Industries</c:v>
                </c:pt>
                <c:pt idx="3">
                  <c:v>Metals</c:v>
                </c:pt>
                <c:pt idx="4">
                  <c:v>Foodstuffs</c:v>
                </c:pt>
                <c:pt idx="5">
                  <c:v>Plastics/Rubbers</c:v>
                </c:pt>
                <c:pt idx="6">
                  <c:v>Animal &amp; Animal Products</c:v>
                </c:pt>
                <c:pt idx="7">
                  <c:v>Vegetable Products</c:v>
                </c:pt>
                <c:pt idx="8">
                  <c:v>Wood and Wood Products</c:v>
                </c:pt>
                <c:pt idx="9">
                  <c:v>Miscellaneous</c:v>
                </c:pt>
                <c:pt idx="10">
                  <c:v>Textiles</c:v>
                </c:pt>
                <c:pt idx="11">
                  <c:v>Footwear/Headgear</c:v>
                </c:pt>
                <c:pt idx="12">
                  <c:v>Stone/Glass</c:v>
                </c:pt>
                <c:pt idx="13">
                  <c:v>Raw Hides, Skins, Leather, &amp; Furs</c:v>
                </c:pt>
                <c:pt idx="14">
                  <c:v>Machinery/Electrical</c:v>
                </c:pt>
              </c:strCache>
            </c:strRef>
          </c:cat>
          <c:val>
            <c:numRef>
              <c:f>Pivot_Backend!$AK$3:$AK$17</c:f>
              <c:numCache>
                <c:formatCode>\$##,##0.0,,," B";\(\$##,##0.0,,," B"\)</c:formatCode>
                <c:ptCount val="15"/>
                <c:pt idx="0">
                  <c:v>-103200417946</c:v>
                </c:pt>
                <c:pt idx="1">
                  <c:v>-51693306526</c:v>
                </c:pt>
                <c:pt idx="2">
                  <c:v>-51109567241</c:v>
                </c:pt>
                <c:pt idx="3">
                  <c:v>-32506634466</c:v>
                </c:pt>
                <c:pt idx="4">
                  <c:v>-28440225590</c:v>
                </c:pt>
                <c:pt idx="5">
                  <c:v>-20181539105</c:v>
                </c:pt>
                <c:pt idx="6">
                  <c:v>-19886952477</c:v>
                </c:pt>
                <c:pt idx="7">
                  <c:v>-16328422766</c:v>
                </c:pt>
                <c:pt idx="8">
                  <c:v>-10022505362</c:v>
                </c:pt>
                <c:pt idx="9">
                  <c:v>-9371603478</c:v>
                </c:pt>
                <c:pt idx="10">
                  <c:v>-6791951556</c:v>
                </c:pt>
                <c:pt idx="11">
                  <c:v>-2293360501</c:v>
                </c:pt>
                <c:pt idx="12">
                  <c:v>-535060352</c:v>
                </c:pt>
                <c:pt idx="13">
                  <c:v>#N/A</c:v>
                </c:pt>
                <c:pt idx="14">
                  <c:v>#N/A</c:v>
                </c:pt>
              </c:numCache>
            </c:numRef>
          </c:val>
          <c:extLst>
            <c:ext xmlns:c16="http://schemas.microsoft.com/office/drawing/2014/chart" uri="{C3380CC4-5D6E-409C-BE32-E72D297353CC}">
              <c16:uniqueId val="{00000001-A365-4DE4-B79F-7E18B2CC0A0C}"/>
            </c:ext>
          </c:extLst>
        </c:ser>
        <c:dLbls>
          <c:dLblPos val="outEnd"/>
          <c:showLegendKey val="0"/>
          <c:showVal val="1"/>
          <c:showCatName val="0"/>
          <c:showSerName val="0"/>
          <c:showPercent val="0"/>
          <c:showBubbleSize val="0"/>
        </c:dLbls>
        <c:gapWidth val="182"/>
        <c:axId val="656239280"/>
        <c:axId val="656235440"/>
      </c:barChart>
      <c:catAx>
        <c:axId val="656239280"/>
        <c:scaling>
          <c:orientation val="minMax"/>
        </c:scaling>
        <c:delete val="0"/>
        <c:axPos val="l"/>
        <c:numFmt formatCode="General" sourceLinked="1"/>
        <c:majorTickMark val="none"/>
        <c:minorTickMark val="none"/>
        <c:tickLblPos val="low"/>
        <c:spPr>
          <a:noFill/>
          <a:ln w="19050"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35440"/>
        <c:crosses val="autoZero"/>
        <c:auto val="1"/>
        <c:lblAlgn val="ctr"/>
        <c:lblOffset val="100"/>
        <c:noMultiLvlLbl val="0"/>
      </c:catAx>
      <c:valAx>
        <c:axId val="656235440"/>
        <c:scaling>
          <c:orientation val="minMax"/>
          <c:max val="70000000000"/>
          <c:min val="-130000000000"/>
        </c:scaling>
        <c:delete val="1"/>
        <c:axPos val="b"/>
        <c:numFmt formatCode="\$##,##0.0,,,&quot; B&quot;;\(\$##,##0.0,,,&quot; B&quot;\)" sourceLinked="1"/>
        <c:majorTickMark val="none"/>
        <c:minorTickMark val="none"/>
        <c:tickLblPos val="nextTo"/>
        <c:crossAx val="656239280"/>
        <c:crossesAt val="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6</xdr:col>
      <xdr:colOff>457875</xdr:colOff>
      <xdr:row>1</xdr:row>
      <xdr:rowOff>114300</xdr:rowOff>
    </xdr:from>
    <xdr:ext cx="5400000" cy="847725"/>
    <xdr:sp macro="" textlink="">
      <xdr:nvSpPr>
        <xdr:cNvPr id="2" name="TextBox 1">
          <a:extLst>
            <a:ext uri="{FF2B5EF4-FFF2-40B4-BE49-F238E27FC236}">
              <a16:creationId xmlns:a16="http://schemas.microsoft.com/office/drawing/2014/main" id="{FA872046-9533-C435-77BF-408F6C7AF962}"/>
            </a:ext>
          </a:extLst>
        </xdr:cNvPr>
        <xdr:cNvSpPr txBox="1"/>
      </xdr:nvSpPr>
      <xdr:spPr>
        <a:xfrm>
          <a:off x="9639975" y="238125"/>
          <a:ext cx="5400000" cy="847725"/>
        </a:xfrm>
        <a:prstGeom prst="rect">
          <a:avLst/>
        </a:prstGeom>
        <a:solidFill>
          <a:schemeClr val="bg1">
            <a:lumMod val="95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100" b="1">
              <a:latin typeface="Roboto" panose="02000000000000000000" pitchFamily="2" charset="0"/>
              <a:ea typeface="Roboto" panose="02000000000000000000" pitchFamily="2" charset="0"/>
            </a:rPr>
            <a:t>Key Insights</a:t>
          </a:r>
        </a:p>
        <a:p>
          <a:endParaRPr lang="en-PH" sz="1100" b="1">
            <a:latin typeface="Roboto" panose="02000000000000000000" pitchFamily="2" charset="0"/>
            <a:ea typeface="Roboto" panose="02000000000000000000" pitchFamily="2" charset="0"/>
          </a:endParaRPr>
        </a:p>
        <a:p>
          <a:r>
            <a:rPr lang="en-PH" sz="1100" b="0" i="0">
              <a:solidFill>
                <a:schemeClr val="tx1"/>
              </a:solidFill>
              <a:effectLst/>
              <a:latin typeface="Roboto" panose="02000000000000000000" pitchFamily="2" charset="0"/>
              <a:ea typeface="Roboto" panose="02000000000000000000" pitchFamily="2" charset="0"/>
              <a:cs typeface="+mn-cs"/>
            </a:rPr>
            <a:t>• Export markets moderately diversified; Top 5 share declined from ~66% to ~61%.</a:t>
          </a:r>
        </a:p>
        <a:p>
          <a:r>
            <a:rPr lang="en-PH" sz="1100" b="0" i="0">
              <a:solidFill>
                <a:schemeClr val="tx1"/>
              </a:solidFill>
              <a:effectLst/>
              <a:latin typeface="Roboto" panose="02000000000000000000" pitchFamily="2" charset="0"/>
              <a:ea typeface="Roboto" panose="02000000000000000000" pitchFamily="2" charset="0"/>
              <a:cs typeface="+mn-cs"/>
            </a:rPr>
            <a:t>• Import concentration risk rose in 2024; Top partner share reached ~25.6%.</a:t>
          </a:r>
          <a:endParaRPr lang="en-PH" sz="1100">
            <a:latin typeface="Roboto" panose="02000000000000000000" pitchFamily="2" charset="0"/>
            <a:ea typeface="Roboto" panose="02000000000000000000" pitchFamily="2" charset="0"/>
          </a:endParaRPr>
        </a:p>
      </xdr:txBody>
    </xdr:sp>
    <xdr:clientData/>
  </xdr:oneCellAnchor>
  <xdr:twoCellAnchor>
    <xdr:from>
      <xdr:col>1</xdr:col>
      <xdr:colOff>0</xdr:colOff>
      <xdr:row>6</xdr:row>
      <xdr:rowOff>95250</xdr:rowOff>
    </xdr:from>
    <xdr:to>
      <xdr:col>10</xdr:col>
      <xdr:colOff>0</xdr:colOff>
      <xdr:row>6</xdr:row>
      <xdr:rowOff>95250</xdr:rowOff>
    </xdr:to>
    <xdr:cxnSp macro="">
      <xdr:nvCxnSpPr>
        <xdr:cNvPr id="4" name="Straight Connector 3">
          <a:extLst>
            <a:ext uri="{FF2B5EF4-FFF2-40B4-BE49-F238E27FC236}">
              <a16:creationId xmlns:a16="http://schemas.microsoft.com/office/drawing/2014/main" id="{F54AED20-3D32-5BA7-4911-819927858483}"/>
            </a:ext>
          </a:extLst>
        </xdr:cNvPr>
        <xdr:cNvCxnSpPr/>
      </xdr:nvCxnSpPr>
      <xdr:spPr>
        <a:xfrm>
          <a:off x="609600" y="1381125"/>
          <a:ext cx="1443037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7</xdr:row>
      <xdr:rowOff>0</xdr:rowOff>
    </xdr:from>
    <xdr:to>
      <xdr:col>9</xdr:col>
      <xdr:colOff>0</xdr:colOff>
      <xdr:row>22</xdr:row>
      <xdr:rowOff>0</xdr:rowOff>
    </xdr:to>
    <xdr:graphicFrame macro="">
      <xdr:nvGraphicFramePr>
        <xdr:cNvPr id="10" name="Chart 9">
          <a:extLst>
            <a:ext uri="{FF2B5EF4-FFF2-40B4-BE49-F238E27FC236}">
              <a16:creationId xmlns:a16="http://schemas.microsoft.com/office/drawing/2014/main" id="{F4F2EF3F-AA54-4EAA-A233-DED8E435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0</xdr:colOff>
      <xdr:row>7</xdr:row>
      <xdr:rowOff>0</xdr:rowOff>
    </xdr:from>
    <xdr:to>
      <xdr:col>17</xdr:col>
      <xdr:colOff>0</xdr:colOff>
      <xdr:row>21</xdr:row>
      <xdr:rowOff>171450</xdr:rowOff>
    </xdr:to>
    <xdr:graphicFrame macro="">
      <xdr:nvGraphicFramePr>
        <xdr:cNvPr id="11" name="Chart 10">
          <a:extLst>
            <a:ext uri="{FF2B5EF4-FFF2-40B4-BE49-F238E27FC236}">
              <a16:creationId xmlns:a16="http://schemas.microsoft.com/office/drawing/2014/main" id="{B37AC924-35E2-47CF-960F-25B0907AB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66675</xdr:colOff>
      <xdr:row>7</xdr:row>
      <xdr:rowOff>0</xdr:rowOff>
    </xdr:from>
    <xdr:to>
      <xdr:col>20</xdr:col>
      <xdr:colOff>0</xdr:colOff>
      <xdr:row>14</xdr:row>
      <xdr:rowOff>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58A234AE-951F-4653-8819-A2FD9B565EB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49075" y="1333500"/>
              <a:ext cx="1762125" cy="1333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0</xdr:colOff>
      <xdr:row>6</xdr:row>
      <xdr:rowOff>0</xdr:rowOff>
    </xdr:from>
    <xdr:to>
      <xdr:col>20</xdr:col>
      <xdr:colOff>0</xdr:colOff>
      <xdr:row>6</xdr:row>
      <xdr:rowOff>0</xdr:rowOff>
    </xdr:to>
    <xdr:cxnSp macro="">
      <xdr:nvCxnSpPr>
        <xdr:cNvPr id="14" name="Straight Connector 13">
          <a:extLst>
            <a:ext uri="{FF2B5EF4-FFF2-40B4-BE49-F238E27FC236}">
              <a16:creationId xmlns:a16="http://schemas.microsoft.com/office/drawing/2014/main" id="{FFB446A8-35DA-BEED-63CD-758955C86B3C}"/>
            </a:ext>
          </a:extLst>
        </xdr:cNvPr>
        <xdr:cNvCxnSpPr/>
      </xdr:nvCxnSpPr>
      <xdr:spPr>
        <a:xfrm>
          <a:off x="609600" y="1209675"/>
          <a:ext cx="128016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12</xdr:col>
      <xdr:colOff>0</xdr:colOff>
      <xdr:row>1</xdr:row>
      <xdr:rowOff>0</xdr:rowOff>
    </xdr:from>
    <xdr:ext cx="5086350" cy="938719"/>
    <xdr:sp macro="" textlink="">
      <xdr:nvSpPr>
        <xdr:cNvPr id="18" name="TextBox 17">
          <a:extLst>
            <a:ext uri="{FF2B5EF4-FFF2-40B4-BE49-F238E27FC236}">
              <a16:creationId xmlns:a16="http://schemas.microsoft.com/office/drawing/2014/main" id="{08C31ACA-27CD-DE27-7F11-9A9AE9ED65F5}"/>
            </a:ext>
          </a:extLst>
        </xdr:cNvPr>
        <xdr:cNvSpPr txBox="1"/>
      </xdr:nvSpPr>
      <xdr:spPr>
        <a:xfrm>
          <a:off x="9239250" y="123825"/>
          <a:ext cx="5086350" cy="938719"/>
        </a:xfrm>
        <a:prstGeom prst="rect">
          <a:avLst/>
        </a:prstGeom>
        <a:solidFill>
          <a:schemeClr val="bg1">
            <a:lumMod val="95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100" b="1">
              <a:latin typeface="Roboto" panose="02000000000000000000" pitchFamily="2" charset="0"/>
              <a:ea typeface="Roboto" panose="02000000000000000000" pitchFamily="2" charset="0"/>
            </a:rPr>
            <a:t>Key</a:t>
          </a:r>
          <a:r>
            <a:rPr lang="en-PH" sz="1100" b="1" baseline="0">
              <a:latin typeface="Roboto" panose="02000000000000000000" pitchFamily="2" charset="0"/>
              <a:ea typeface="Roboto" panose="02000000000000000000" pitchFamily="2" charset="0"/>
            </a:rPr>
            <a:t> Insights</a:t>
          </a:r>
        </a:p>
        <a:p>
          <a:endParaRPr lang="en-PH" sz="1100" b="1" baseline="0">
            <a:latin typeface="Roboto" panose="02000000000000000000" pitchFamily="2" charset="0"/>
            <a:ea typeface="Roboto" panose="02000000000000000000" pitchFamily="2" charset="0"/>
          </a:endParaRPr>
        </a:p>
        <a:p>
          <a:r>
            <a:rPr lang="en-PH" sz="1100" b="1" baseline="0">
              <a:latin typeface="Roboto" panose="02000000000000000000" pitchFamily="2" charset="0"/>
              <a:ea typeface="Roboto" panose="02000000000000000000" pitchFamily="2" charset="0"/>
            </a:rPr>
            <a:t>• </a:t>
          </a:r>
          <a:r>
            <a:rPr lang="en-PH" sz="1100" b="0" baseline="0">
              <a:latin typeface="Roboto" panose="02000000000000000000" pitchFamily="2" charset="0"/>
              <a:ea typeface="Roboto" panose="02000000000000000000" pitchFamily="2" charset="0"/>
            </a:rPr>
            <a:t>The USA and its attached territories account for most of the Philippine exports; China for most of the imports</a:t>
          </a:r>
        </a:p>
        <a:p>
          <a:r>
            <a:rPr lang="en-PH" sz="1100" b="1" baseline="0">
              <a:latin typeface="Roboto" panose="02000000000000000000" pitchFamily="2" charset="0"/>
              <a:ea typeface="Roboto" panose="02000000000000000000" pitchFamily="2" charset="0"/>
            </a:rPr>
            <a:t>• </a:t>
          </a:r>
          <a:r>
            <a:rPr lang="en-PH" sz="1100" b="0" baseline="0">
              <a:latin typeface="Roboto" panose="02000000000000000000" pitchFamily="2" charset="0"/>
              <a:ea typeface="Roboto" panose="02000000000000000000" pitchFamily="2" charset="0"/>
            </a:rPr>
            <a:t>Import concentration increased throughout the period</a:t>
          </a:r>
          <a:endParaRPr lang="en-PH" sz="1100" b="1" baseline="0">
            <a:latin typeface="Roboto" panose="02000000000000000000" pitchFamily="2" charset="0"/>
            <a:ea typeface="Roboto" panose="02000000000000000000" pitchFamily="2" charset="0"/>
          </a:endParaRPr>
        </a:p>
      </xdr:txBody>
    </xdr:sp>
    <xdr:clientData/>
  </xdr:oneCellAnchor>
  <xdr:twoCellAnchor>
    <xdr:from>
      <xdr:col>0</xdr:col>
      <xdr:colOff>600074</xdr:colOff>
      <xdr:row>7</xdr:row>
      <xdr:rowOff>0</xdr:rowOff>
    </xdr:from>
    <xdr:to>
      <xdr:col>9</xdr:col>
      <xdr:colOff>0</xdr:colOff>
      <xdr:row>27</xdr:row>
      <xdr:rowOff>0</xdr:rowOff>
    </xdr:to>
    <xdr:sp macro="" textlink="">
      <xdr:nvSpPr>
        <xdr:cNvPr id="4" name="Rectangle 3">
          <a:extLst>
            <a:ext uri="{FF2B5EF4-FFF2-40B4-BE49-F238E27FC236}">
              <a16:creationId xmlns:a16="http://schemas.microsoft.com/office/drawing/2014/main" id="{7A77AA38-F4E9-5C43-04A4-68BD79C088F4}"/>
            </a:ext>
          </a:extLst>
        </xdr:cNvPr>
        <xdr:cNvSpPr/>
      </xdr:nvSpPr>
      <xdr:spPr>
        <a:xfrm>
          <a:off x="600074" y="1333500"/>
          <a:ext cx="5495926" cy="3943350"/>
        </a:xfrm>
        <a:prstGeom prst="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10</xdr:col>
      <xdr:colOff>0</xdr:colOff>
      <xdr:row>7</xdr:row>
      <xdr:rowOff>0</xdr:rowOff>
    </xdr:from>
    <xdr:to>
      <xdr:col>17</xdr:col>
      <xdr:colOff>0</xdr:colOff>
      <xdr:row>27</xdr:row>
      <xdr:rowOff>0</xdr:rowOff>
    </xdr:to>
    <xdr:sp macro="" textlink="">
      <xdr:nvSpPr>
        <xdr:cNvPr id="5" name="Rectangle 4">
          <a:extLst>
            <a:ext uri="{FF2B5EF4-FFF2-40B4-BE49-F238E27FC236}">
              <a16:creationId xmlns:a16="http://schemas.microsoft.com/office/drawing/2014/main" id="{8A733FF7-72AE-4B12-BADE-D0A38C47294B}"/>
            </a:ext>
          </a:extLst>
        </xdr:cNvPr>
        <xdr:cNvSpPr/>
      </xdr:nvSpPr>
      <xdr:spPr>
        <a:xfrm>
          <a:off x="6248400" y="1333500"/>
          <a:ext cx="5334000" cy="3943350"/>
        </a:xfrm>
        <a:prstGeom prst="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26</xdr:col>
      <xdr:colOff>85724</xdr:colOff>
      <xdr:row>7</xdr:row>
      <xdr:rowOff>0</xdr:rowOff>
    </xdr:from>
    <xdr:to>
      <xdr:col>28</xdr:col>
      <xdr:colOff>609599</xdr:colOff>
      <xdr:row>18</xdr:row>
      <xdr:rowOff>85725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66F5C13F-6B42-4621-91FC-AA730FE976E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478124" y="1333500"/>
              <a:ext cx="1743075" cy="21812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0</xdr:colOff>
      <xdr:row>6</xdr:row>
      <xdr:rowOff>0</xdr:rowOff>
    </xdr:from>
    <xdr:to>
      <xdr:col>29</xdr:col>
      <xdr:colOff>0</xdr:colOff>
      <xdr:row>6</xdr:row>
      <xdr:rowOff>0</xdr:rowOff>
    </xdr:to>
    <xdr:cxnSp macro="">
      <xdr:nvCxnSpPr>
        <xdr:cNvPr id="5" name="Straight Connector 4">
          <a:extLst>
            <a:ext uri="{FF2B5EF4-FFF2-40B4-BE49-F238E27FC236}">
              <a16:creationId xmlns:a16="http://schemas.microsoft.com/office/drawing/2014/main" id="{A290A15F-881C-4665-855C-58748C2DB01B}"/>
            </a:ext>
          </a:extLst>
        </xdr:cNvPr>
        <xdr:cNvCxnSpPr/>
      </xdr:nvCxnSpPr>
      <xdr:spPr>
        <a:xfrm>
          <a:off x="609600" y="1209675"/>
          <a:ext cx="17068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15</xdr:col>
      <xdr:colOff>533400</xdr:colOff>
      <xdr:row>1</xdr:row>
      <xdr:rowOff>19050</xdr:rowOff>
    </xdr:from>
    <xdr:ext cx="8001000" cy="952500"/>
    <xdr:sp macro="" textlink="">
      <xdr:nvSpPr>
        <xdr:cNvPr id="6" name="TextBox 5">
          <a:extLst>
            <a:ext uri="{FF2B5EF4-FFF2-40B4-BE49-F238E27FC236}">
              <a16:creationId xmlns:a16="http://schemas.microsoft.com/office/drawing/2014/main" id="{27648B29-1C85-4EA2-A038-E11F43A1D613}"/>
            </a:ext>
          </a:extLst>
        </xdr:cNvPr>
        <xdr:cNvSpPr txBox="1"/>
      </xdr:nvSpPr>
      <xdr:spPr>
        <a:xfrm>
          <a:off x="9448800" y="142875"/>
          <a:ext cx="8001000" cy="952500"/>
        </a:xfrm>
        <a:prstGeom prst="rect">
          <a:avLst/>
        </a:prstGeom>
        <a:solidFill>
          <a:schemeClr val="bg1">
            <a:lumMod val="95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100" b="1">
              <a:latin typeface="Roboto" panose="02000000000000000000" pitchFamily="2" charset="0"/>
              <a:ea typeface="Roboto" panose="02000000000000000000" pitchFamily="2" charset="0"/>
            </a:rPr>
            <a:t>Key</a:t>
          </a:r>
          <a:r>
            <a:rPr lang="en-PH" sz="1100" b="1" baseline="0">
              <a:latin typeface="Roboto" panose="02000000000000000000" pitchFamily="2" charset="0"/>
              <a:ea typeface="Roboto" panose="02000000000000000000" pitchFamily="2" charset="0"/>
            </a:rPr>
            <a:t> Insights</a:t>
          </a:r>
        </a:p>
        <a:p>
          <a:endParaRPr lang="en-PH" sz="1100" b="1" baseline="0">
            <a:latin typeface="Roboto" panose="02000000000000000000" pitchFamily="2" charset="0"/>
            <a:ea typeface="Roboto" panose="02000000000000000000" pitchFamily="2" charset="0"/>
          </a:endParaRPr>
        </a:p>
        <a:p>
          <a:r>
            <a:rPr lang="en-PH" sz="1100" b="1" baseline="0">
              <a:latin typeface="Roboto" panose="02000000000000000000" pitchFamily="2" charset="0"/>
              <a:ea typeface="Roboto" panose="02000000000000000000" pitchFamily="2" charset="0"/>
            </a:rPr>
            <a:t>• </a:t>
          </a:r>
          <a:r>
            <a:rPr lang="en-PH" sz="1100" b="0" baseline="0">
              <a:latin typeface="Roboto" panose="02000000000000000000" pitchFamily="2" charset="0"/>
              <a:ea typeface="Roboto" panose="02000000000000000000" pitchFamily="2" charset="0"/>
            </a:rPr>
            <a:t>Philippine exports are heavily concentrated in the Machinery/Electrical sector, accounting for over 60% of total exports.</a:t>
          </a:r>
        </a:p>
        <a:p>
          <a:r>
            <a:rPr lang="en-PH" sz="1100" b="1" baseline="0">
              <a:latin typeface="Roboto" panose="02000000000000000000" pitchFamily="2" charset="0"/>
              <a:ea typeface="Roboto" panose="02000000000000000000" pitchFamily="2" charset="0"/>
            </a:rPr>
            <a:t>• </a:t>
          </a:r>
          <a:r>
            <a:rPr lang="en-PH" sz="1100" b="0" baseline="0">
              <a:latin typeface="Roboto" panose="02000000000000000000" pitchFamily="2" charset="0"/>
              <a:ea typeface="Roboto" panose="02000000000000000000" pitchFamily="2" charset="0"/>
            </a:rPr>
            <a:t>This concentration exposes the economy to global demand shocks affecting the electronics industry.</a:t>
          </a:r>
          <a:endParaRPr lang="en-PH" sz="1100" b="1" baseline="0">
            <a:latin typeface="Roboto" panose="02000000000000000000" pitchFamily="2" charset="0"/>
            <a:ea typeface="Roboto" panose="02000000000000000000" pitchFamily="2" charset="0"/>
          </a:endParaRPr>
        </a:p>
      </xdr:txBody>
    </xdr:sp>
    <xdr:clientData/>
  </xdr:oneCellAnchor>
  <xdr:twoCellAnchor>
    <xdr:from>
      <xdr:col>1</xdr:col>
      <xdr:colOff>0</xdr:colOff>
      <xdr:row>7</xdr:row>
      <xdr:rowOff>0</xdr:rowOff>
    </xdr:from>
    <xdr:to>
      <xdr:col>13</xdr:col>
      <xdr:colOff>0</xdr:colOff>
      <xdr:row>26</xdr:row>
      <xdr:rowOff>0</xdr:rowOff>
    </xdr:to>
    <xdr:graphicFrame macro="">
      <xdr:nvGraphicFramePr>
        <xdr:cNvPr id="9" name="Chart 8">
          <a:extLst>
            <a:ext uri="{FF2B5EF4-FFF2-40B4-BE49-F238E27FC236}">
              <a16:creationId xmlns:a16="http://schemas.microsoft.com/office/drawing/2014/main" id="{7AA059DA-780F-4742-ACAC-7B07F229F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7</xdr:row>
      <xdr:rowOff>0</xdr:rowOff>
    </xdr:from>
    <xdr:to>
      <xdr:col>26</xdr:col>
      <xdr:colOff>0</xdr:colOff>
      <xdr:row>26</xdr:row>
      <xdr:rowOff>0</xdr:rowOff>
    </xdr:to>
    <xdr:graphicFrame macro="">
      <xdr:nvGraphicFramePr>
        <xdr:cNvPr id="10" name="Chart 9">
          <a:extLst>
            <a:ext uri="{FF2B5EF4-FFF2-40B4-BE49-F238E27FC236}">
              <a16:creationId xmlns:a16="http://schemas.microsoft.com/office/drawing/2014/main" id="{1CDE26CA-A507-445E-870F-F25E9F1FF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xdr:row>
      <xdr:rowOff>0</xdr:rowOff>
    </xdr:from>
    <xdr:to>
      <xdr:col>13</xdr:col>
      <xdr:colOff>0</xdr:colOff>
      <xdr:row>30</xdr:row>
      <xdr:rowOff>0</xdr:rowOff>
    </xdr:to>
    <xdr:sp macro="" textlink="">
      <xdr:nvSpPr>
        <xdr:cNvPr id="12" name="Rectangle 11">
          <a:extLst>
            <a:ext uri="{FF2B5EF4-FFF2-40B4-BE49-F238E27FC236}">
              <a16:creationId xmlns:a16="http://schemas.microsoft.com/office/drawing/2014/main" id="{1355C983-176D-2D0F-01D5-78314C61B999}"/>
            </a:ext>
          </a:extLst>
        </xdr:cNvPr>
        <xdr:cNvSpPr/>
      </xdr:nvSpPr>
      <xdr:spPr>
        <a:xfrm>
          <a:off x="609600" y="1333500"/>
          <a:ext cx="7315200" cy="4381500"/>
        </a:xfrm>
        <a:prstGeom prst="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0</xdr:colOff>
      <xdr:row>7</xdr:row>
      <xdr:rowOff>0</xdr:rowOff>
    </xdr:from>
    <xdr:to>
      <xdr:col>26</xdr:col>
      <xdr:colOff>0</xdr:colOff>
      <xdr:row>30</xdr:row>
      <xdr:rowOff>0</xdr:rowOff>
    </xdr:to>
    <xdr:sp macro="" textlink="">
      <xdr:nvSpPr>
        <xdr:cNvPr id="13" name="Rectangle 12">
          <a:extLst>
            <a:ext uri="{FF2B5EF4-FFF2-40B4-BE49-F238E27FC236}">
              <a16:creationId xmlns:a16="http://schemas.microsoft.com/office/drawing/2014/main" id="{C500FE79-BCD0-4653-B1F6-C60AEF947D33}"/>
            </a:ext>
          </a:extLst>
        </xdr:cNvPr>
        <xdr:cNvSpPr/>
      </xdr:nvSpPr>
      <xdr:spPr>
        <a:xfrm>
          <a:off x="8534400" y="1333500"/>
          <a:ext cx="7315200" cy="4381500"/>
        </a:xfrm>
        <a:prstGeom prst="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19</xdr:col>
      <xdr:colOff>0</xdr:colOff>
      <xdr:row>6</xdr:row>
      <xdr:rowOff>0</xdr:rowOff>
    </xdr:to>
    <xdr:cxnSp macro="">
      <xdr:nvCxnSpPr>
        <xdr:cNvPr id="3" name="Straight Connector 2">
          <a:extLst>
            <a:ext uri="{FF2B5EF4-FFF2-40B4-BE49-F238E27FC236}">
              <a16:creationId xmlns:a16="http://schemas.microsoft.com/office/drawing/2014/main" id="{ABDF0908-9B02-4891-8AD2-6C7347352276}"/>
            </a:ext>
          </a:extLst>
        </xdr:cNvPr>
        <xdr:cNvCxnSpPr/>
      </xdr:nvCxnSpPr>
      <xdr:spPr>
        <a:xfrm>
          <a:off x="609600" y="1209675"/>
          <a:ext cx="10972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0</xdr:colOff>
      <xdr:row>1</xdr:row>
      <xdr:rowOff>9525</xdr:rowOff>
    </xdr:from>
    <xdr:ext cx="6705600" cy="952500"/>
    <xdr:sp macro="" textlink="">
      <xdr:nvSpPr>
        <xdr:cNvPr id="4" name="TextBox 3">
          <a:extLst>
            <a:ext uri="{FF2B5EF4-FFF2-40B4-BE49-F238E27FC236}">
              <a16:creationId xmlns:a16="http://schemas.microsoft.com/office/drawing/2014/main" id="{48488C57-4BFF-41C5-B57B-AB461837F771}"/>
            </a:ext>
          </a:extLst>
        </xdr:cNvPr>
        <xdr:cNvSpPr txBox="1"/>
      </xdr:nvSpPr>
      <xdr:spPr>
        <a:xfrm>
          <a:off x="4876800" y="133350"/>
          <a:ext cx="6705600" cy="952500"/>
        </a:xfrm>
        <a:prstGeom prst="rect">
          <a:avLst/>
        </a:prstGeom>
        <a:solidFill>
          <a:schemeClr val="bg1">
            <a:lumMod val="95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100" b="1">
              <a:latin typeface="Roboto" panose="02000000000000000000" pitchFamily="2" charset="0"/>
              <a:ea typeface="Roboto" panose="02000000000000000000" pitchFamily="2" charset="0"/>
            </a:rPr>
            <a:t>Key</a:t>
          </a:r>
          <a:r>
            <a:rPr lang="en-PH" sz="1100" b="1" baseline="0">
              <a:latin typeface="Roboto" panose="02000000000000000000" pitchFamily="2" charset="0"/>
              <a:ea typeface="Roboto" panose="02000000000000000000" pitchFamily="2" charset="0"/>
            </a:rPr>
            <a:t> Insights</a:t>
          </a:r>
        </a:p>
        <a:p>
          <a:endParaRPr lang="en-PH" sz="1100" b="1" baseline="0">
            <a:latin typeface="Roboto" panose="02000000000000000000" pitchFamily="2" charset="0"/>
            <a:ea typeface="Roboto" panose="02000000000000000000" pitchFamily="2" charset="0"/>
          </a:endParaRPr>
        </a:p>
        <a:p>
          <a:r>
            <a:rPr lang="en-PH" sz="1100" b="1" baseline="0">
              <a:latin typeface="Roboto" panose="02000000000000000000" pitchFamily="2" charset="0"/>
              <a:ea typeface="Roboto" panose="02000000000000000000" pitchFamily="2" charset="0"/>
            </a:rPr>
            <a:t>• </a:t>
          </a:r>
          <a:r>
            <a:rPr lang="en-PH" sz="1100" b="0" baseline="0">
              <a:latin typeface="Roboto" panose="02000000000000000000" pitchFamily="2" charset="0"/>
              <a:ea typeface="Roboto" panose="02000000000000000000" pitchFamily="2" charset="0"/>
            </a:rPr>
            <a:t>The Philippines specializes in Machinery/Electrical exports</a:t>
          </a:r>
        </a:p>
        <a:p>
          <a:r>
            <a:rPr lang="en-PH" sz="1100" b="1" baseline="0">
              <a:latin typeface="Roboto" panose="02000000000000000000" pitchFamily="2" charset="0"/>
              <a:ea typeface="Roboto" panose="02000000000000000000" pitchFamily="2" charset="0"/>
            </a:rPr>
            <a:t>• </a:t>
          </a:r>
          <a:r>
            <a:rPr lang="en-PH" sz="1100" b="0" baseline="0">
              <a:latin typeface="Roboto" panose="02000000000000000000" pitchFamily="2" charset="0"/>
              <a:ea typeface="Roboto" panose="02000000000000000000" pitchFamily="2" charset="0"/>
            </a:rPr>
            <a:t>Industrial inputs (Mineral Products, Transportation, and Chemicals) generate the largest trade deficits, reflecting the country's dependence on imported fuel, equipment, and intermediate goods.</a:t>
          </a:r>
          <a:endParaRPr lang="en-PH" sz="1100" b="1" baseline="0">
            <a:latin typeface="Roboto" panose="02000000000000000000" pitchFamily="2" charset="0"/>
            <a:ea typeface="Roboto" panose="02000000000000000000" pitchFamily="2" charset="0"/>
          </a:endParaRPr>
        </a:p>
      </xdr:txBody>
    </xdr:sp>
    <xdr:clientData/>
  </xdr:oneCellAnchor>
  <xdr:twoCellAnchor>
    <xdr:from>
      <xdr:col>1</xdr:col>
      <xdr:colOff>0</xdr:colOff>
      <xdr:row>7</xdr:row>
      <xdr:rowOff>0</xdr:rowOff>
    </xdr:from>
    <xdr:to>
      <xdr:col>16</xdr:col>
      <xdr:colOff>0</xdr:colOff>
      <xdr:row>27</xdr:row>
      <xdr:rowOff>0</xdr:rowOff>
    </xdr:to>
    <xdr:graphicFrame macro="">
      <xdr:nvGraphicFramePr>
        <xdr:cNvPr id="9" name="Chart 8">
          <a:extLst>
            <a:ext uri="{FF2B5EF4-FFF2-40B4-BE49-F238E27FC236}">
              <a16:creationId xmlns:a16="http://schemas.microsoft.com/office/drawing/2014/main" id="{DE6A9746-57A5-4AF4-924C-79CEBBA5D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16</xdr:col>
      <xdr:colOff>133350</xdr:colOff>
      <xdr:row>7</xdr:row>
      <xdr:rowOff>0</xdr:rowOff>
    </xdr:from>
    <xdr:to>
      <xdr:col>19</xdr:col>
      <xdr:colOff>0</xdr:colOff>
      <xdr:row>18</xdr:row>
      <xdr:rowOff>85725</xdr:rowOff>
    </xdr:to>
    <mc:AlternateContent xmlns:mc="http://schemas.openxmlformats.org/markup-compatibility/2006" xmlns:a14="http://schemas.microsoft.com/office/drawing/2010/main">
      <mc:Choice Requires="a14">
        <xdr:graphicFrame macro="">
          <xdr:nvGraphicFramePr>
            <xdr:cNvPr id="10" name="Year 2">
              <a:extLst>
                <a:ext uri="{FF2B5EF4-FFF2-40B4-BE49-F238E27FC236}">
                  <a16:creationId xmlns:a16="http://schemas.microsoft.com/office/drawing/2014/main" id="{87790832-605E-49C7-887B-14EB779E05A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886950" y="1333500"/>
              <a:ext cx="1695450" cy="21812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0</xdr:colOff>
      <xdr:row>7</xdr:row>
      <xdr:rowOff>0</xdr:rowOff>
    </xdr:from>
    <xdr:to>
      <xdr:col>16</xdr:col>
      <xdr:colOff>0</xdr:colOff>
      <xdr:row>33</xdr:row>
      <xdr:rowOff>0</xdr:rowOff>
    </xdr:to>
    <xdr:sp macro="" textlink="">
      <xdr:nvSpPr>
        <xdr:cNvPr id="5" name="Rectangle 4">
          <a:extLst>
            <a:ext uri="{FF2B5EF4-FFF2-40B4-BE49-F238E27FC236}">
              <a16:creationId xmlns:a16="http://schemas.microsoft.com/office/drawing/2014/main" id="{6FE02CA1-B51C-AD26-AE25-BAF2EA1D483B}"/>
            </a:ext>
          </a:extLst>
        </xdr:cNvPr>
        <xdr:cNvSpPr/>
      </xdr:nvSpPr>
      <xdr:spPr>
        <a:xfrm>
          <a:off x="609600" y="1333500"/>
          <a:ext cx="9144000" cy="5334000"/>
        </a:xfrm>
        <a:prstGeom prst="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7662037" backgroundQuery="1" createdVersion="8" refreshedVersion="8" minRefreshableVersion="3" recordCount="0" supportSubquery="1" supportAdvancedDrill="1" xr:uid="{641BC5F9-79B2-4F3C-951D-B99255C77094}">
  <cacheSource type="external" connectionId="15"/>
  <cacheFields count="1">
    <cacheField name="[Measures].[Export-to-Import Ratio %]" caption="Export-to-Import Ratio %" numFmtId="0" hierarchy="24" level="32767"/>
  </cacheFields>
  <cacheHierarchies count="36">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oneField="1">
      <fieldsUsage count="1">
        <fieldUsage x="0"/>
      </fieldsUsage>
    </cacheHierarchy>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77777778" backgroundQuery="1" createdVersion="8" refreshedVersion="8" minRefreshableVersion="3" recordCount="0" supportSubquery="1" supportAdvancedDrill="1" xr:uid="{20D61664-3515-4A56-90FC-89202F5DE402}">
  <cacheSource type="external" connectionId="15"/>
  <cacheFields count="5">
    <cacheField name="[Measures].[Top 1 Export Share %]" caption="Top 1 Export Share %" numFmtId="0" hierarchy="25" level="32767"/>
    <cacheField name="[Measures].[Top 1 Import Share %]" caption="Top 1 Import Share %" numFmtId="0" hierarchy="26" level="32767"/>
    <cacheField name="[Measures].[Top 5 Export Share %]" caption="Top 5 Export Share %" numFmtId="0" hierarchy="22" level="32767"/>
    <cacheField name="[Measures].[Top 5 Import Share %]" caption="Top 5 Import Share %" numFmtId="0" hierarchy="23" level="32767"/>
    <cacheField name="[Dim_Date].[Year].[Year]" caption="Year" numFmtId="0"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Dim_Date].[Year].&amp;[2019]"/>
            <x15:cachedUniqueName index="1" name="[Dim_Date].[Year].&amp;[2020]"/>
            <x15:cachedUniqueName index="2" name="[Dim_Date].[Year].&amp;[2021]"/>
            <x15:cachedUniqueName index="3" name="[Dim_Date].[Year].&amp;[2022]"/>
            <x15:cachedUniqueName index="4" name="[Dim_Date].[Year].&amp;[2023]"/>
            <x15:cachedUniqueName index="5" name="[Dim_Date].[Year].&amp;[2024]"/>
          </x15:cachedUniqueNames>
        </ext>
      </extLst>
    </cacheField>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oneField="1">
      <fieldsUsage count="1">
        <fieldUsage x="2"/>
      </fieldsUsage>
    </cacheHierarchy>
    <cacheHierarchy uniqueName="[Measures].[Top 5 Import Share %]" caption="Top 5 Import Share %" measure="1" displayFolder="" measureGroup="Fact_Trade" count="0" oneField="1">
      <fieldsUsage count="1">
        <fieldUsage x="3"/>
      </fieldsUsage>
    </cacheHierarchy>
    <cacheHierarchy uniqueName="[Measures].[Export-to-Import Ratio %]" caption="Export-to-Import Ratio %" measure="1" displayFolder="" measureGroup="Fact_Trade" count="0"/>
    <cacheHierarchy uniqueName="[Measures].[Top 1 Export Share %]" caption="Top 1 Export Share %" measure="1" displayFolder="" measureGroup="Fact_Trade" count="0" oneField="1">
      <fieldsUsage count="1">
        <fieldUsage x="0"/>
      </fieldsUsage>
    </cacheHierarchy>
    <cacheHierarchy uniqueName="[Measures].[Top 1 Import Share %]" caption="Top 1 Import Share %" measure="1" displayFolder="" measureGroup="Fact_Trade" count="0" oneField="1">
      <fieldsUsage count="1">
        <fieldUsage x="1"/>
      </fieldsUsage>
    </cacheHierarchy>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78587963" backgroundQuery="1" createdVersion="8" refreshedVersion="8" minRefreshableVersion="3" recordCount="0" supportSubquery="1" supportAdvancedDrill="1" xr:uid="{DD3B5559-0DB7-4B80-B885-A2EDFA91203B}">
  <cacheSource type="external" connectionId="15"/>
  <cacheFields count="2">
    <cacheField name="[Dim_Date].[Year].[Year]" caption="Year" numFmtId="0"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_Date].[Year].&amp;[2020]"/>
            <x15:cachedUniqueName index="1" name="[Dim_Date].[Year].&amp;[2021]"/>
            <x15:cachedUniqueName index="2" name="[Dim_Date].[Year].&amp;[2022]"/>
            <x15:cachedUniqueName index="3" name="[Dim_Date].[Year].&amp;[2023]"/>
            <x15:cachedUniqueName index="4" name="[Dim_Date].[Year].&amp;[2024]"/>
          </x15:cachedUniqueNames>
        </ext>
      </extLst>
    </cacheField>
    <cacheField name="[Measures].[Trade Balance YoY %]" caption="Trade Balance YoY %" numFmtId="0" hierarchy="19" level="32767"/>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oneField="1">
      <fieldsUsage count="1">
        <fieldUsage x="1"/>
      </fieldsUsage>
    </cacheHierarchy>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79398148" backgroundQuery="1" createdVersion="8" refreshedVersion="8" minRefreshableVersion="3" recordCount="0" supportSubquery="1" supportAdvancedDrill="1" xr:uid="{64F6C3BD-0A77-4547-8D7E-3D82C2782AB1}">
  <cacheSource type="external" connectionId="15"/>
  <cacheFields count="2">
    <cacheField name="[Dim_Date].[Year].[Year]" caption="Year" numFmtId="0"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_Date].[Year].&amp;[2020]"/>
            <x15:cachedUniqueName index="1" name="[Dim_Date].[Year].&amp;[2021]"/>
            <x15:cachedUniqueName index="2" name="[Dim_Date].[Year].&amp;[2022]"/>
            <x15:cachedUniqueName index="3" name="[Dim_Date].[Year].&amp;[2023]"/>
            <x15:cachedUniqueName index="4" name="[Dim_Date].[Year].&amp;[2024]"/>
          </x15:cachedUniqueNames>
        </ext>
      </extLst>
    </cacheField>
    <cacheField name="[Measures].[Import YoY %]" caption="Import YoY %" numFmtId="0" hierarchy="18" level="32767"/>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oneField="1">
      <fieldsUsage count="1">
        <fieldUsage x="1"/>
      </fieldsUsage>
    </cacheHierarchy>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80092595" backgroundQuery="1" createdVersion="8" refreshedVersion="8" minRefreshableVersion="3" recordCount="0" supportSubquery="1" supportAdvancedDrill="1" xr:uid="{DE00ED20-0E3A-499A-B600-3F24C3314811}">
  <cacheSource type="external" connectionId="15"/>
  <cacheFields count="2">
    <cacheField name="[Dim_Date].[Year].[Year]" caption="Year" numFmtId="0"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_Date].[Year].&amp;[2020]"/>
            <x15:cachedUniqueName index="1" name="[Dim_Date].[Year].&amp;[2021]"/>
            <x15:cachedUniqueName index="2" name="[Dim_Date].[Year].&amp;[2022]"/>
            <x15:cachedUniqueName index="3" name="[Dim_Date].[Year].&amp;[2023]"/>
            <x15:cachedUniqueName index="4" name="[Dim_Date].[Year].&amp;[2024]"/>
          </x15:cachedUniqueNames>
        </ext>
      </extLst>
    </cacheField>
    <cacheField name="[Measures].[Export YoY %]" caption="Export YoY %" numFmtId="0" hierarchy="17" level="32767"/>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oneField="1">
      <fieldsUsage count="1">
        <fieldUsage x="1"/>
      </fieldsUsage>
    </cacheHierarchy>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80671295" backgroundQuery="1" createdVersion="8" refreshedVersion="8" minRefreshableVersion="3" recordCount="0" supportSubquery="1" supportAdvancedDrill="1" xr:uid="{3FA03F0C-333A-4130-9E41-D64A369DA8CC}">
  <cacheSource type="external" connectionId="15"/>
  <cacheFields count="1">
    <cacheField name="[Measures].[TradeBalance]" caption="TradeBalance" numFmtId="0" hierarchy="16" level="32767"/>
  </cacheFields>
  <cacheHierarchies count="36">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oneField="1">
      <fieldsUsage count="1">
        <fieldUsage x="0"/>
      </fieldsUsage>
    </cacheHierarchy>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81250003" backgroundQuery="1" createdVersion="8" refreshedVersion="8" minRefreshableVersion="3" recordCount="0" supportSubquery="1" supportAdvancedDrill="1" xr:uid="{D6A40F4C-CC40-4CE9-996C-065BBBFC0CDA}">
  <cacheSource type="external" connectionId="15"/>
  <cacheFields count="1">
    <cacheField name="[Measures].[TotalTradeValueUSD_Import]" caption="TotalTradeValueUSD_Import" numFmtId="0" hierarchy="15" level="32767"/>
  </cacheFields>
  <cacheHierarchies count="36">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oneField="1">
      <fieldsUsage count="1">
        <fieldUsage x="0"/>
      </fieldsUsage>
    </cacheHierarchy>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89.831181712965" backgroundQuery="1" createdVersion="8" refreshedVersion="8" minRefreshableVersion="3" recordCount="0" supportSubquery="1" supportAdvancedDrill="1" xr:uid="{7E884718-1E4B-474E-AE8A-A7250146DD50}">
  <cacheSource type="external" connectionId="15"/>
  <cacheFields count="1">
    <cacheField name="[Measures].[TotalTradeValueUSD_Export]" caption="TotalTradeValueUSD_Export" numFmtId="0" hierarchy="14" level="32767"/>
  </cacheFields>
  <cacheHierarchies count="36">
    <cacheHierarchy uniqueName="[Dim_Date].[Year]" caption="Year" attribute="1" defaultMemberUniqueName="[Dim_Date].[Year].[All]" allUniqueName="[Dim_Date].[Year].[All]" dimensionUniqueName="[Dim_Date]" displayFolder="" count="0" memberValueDatatype="20" unbalanced="0"/>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oneField="1">
      <fieldsUsage count="1">
        <fieldUsage x="0"/>
      </fieldsUsage>
    </cacheHierarchy>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92.525039120374" backgroundQuery="1" createdVersion="8" refreshedVersion="8" minRefreshableVersion="3" recordCount="0" supportSubquery="1" supportAdvancedDrill="1" xr:uid="{286E6F71-B920-4E99-91F2-EE47A722C125}">
  <cacheSource type="external" connectionId="15"/>
  <cacheFields count="3">
    <cacheField name="[Dim_Partner].[Partner].[Partner]" caption="Partner" numFmtId="0" hierarchy="2" level="1">
      <sharedItems count="227">
        <s v="Afghanistan"/>
        <s v="Afr.Other ns"/>
        <s v="Albania"/>
        <s v="Algeria"/>
        <s v="American Samoa"/>
        <s v="Andorra"/>
        <s v="Angola"/>
        <s v="Anguilla"/>
        <s v="Antarctica"/>
        <s v="Antigua,Barb"/>
        <s v="Areas nes"/>
        <s v="Argentina"/>
        <s v="Armenia"/>
        <s v="Aruba"/>
        <s v="Asia Othr.ns"/>
        <s v="Australia"/>
        <s v="Austria"/>
        <s v="Azerbaijan"/>
        <s v="Bahamas"/>
        <s v="Bahrain"/>
        <s v="Bangladesh"/>
        <s v="Barbados"/>
        <s v="Belarus"/>
        <s v="Belgium"/>
        <s v="Belize"/>
        <s v="Benin"/>
        <s v="Bermuda"/>
        <s v="Bhutan"/>
        <s v="Bolivia"/>
        <s v="Bosnia Herzg"/>
        <s v="Botswana"/>
        <s v="Br.Ind.Oc.Tr"/>
        <s v="Br.Virgin Is"/>
        <s v="Brazil"/>
        <s v="Brunei Darsm"/>
        <s v="Bulgaria"/>
        <s v="Burkina Faso"/>
        <s v="Burundi"/>
        <s v="Cambodia"/>
        <s v="Cameroon"/>
        <s v="Canada"/>
        <s v="Cape Verde"/>
        <s v="Cayman Is"/>
        <s v="Cent.Afr.Rep"/>
        <s v="Chad"/>
        <s v="Chile"/>
        <s v="China"/>
        <s v="Christmas Is"/>
        <s v="Cocos Is"/>
        <s v="Colombia"/>
        <s v="Comoros"/>
        <s v="Congo"/>
        <s v="Cook Is"/>
        <s v="Costa Rica"/>
        <s v="Cote Divoire"/>
        <s v="Croatia"/>
        <s v="Cuba"/>
        <s v="Cyprus"/>
        <s v="Czech Rep"/>
        <s v="Denmark"/>
        <s v="Djibouti"/>
        <s v="Dominica"/>
        <s v="Dominican Rp"/>
        <s v="East Timor"/>
        <s v="Ecuador"/>
        <s v="Egypt"/>
        <s v="El Salvador"/>
        <s v="Eq.Guinea"/>
        <s v="Eritrea"/>
        <s v="Estonia"/>
        <s v="Ethiopia"/>
        <s v="Faeroe Is"/>
        <s v="Falkland Is"/>
        <s v="Fiji"/>
        <s v="Finland"/>
        <s v="Fr.Polynesia"/>
        <s v="Fr.So.Ant.Tr"/>
        <s v="France+Monac"/>
        <s v="Gabon"/>
        <s v="Gambia"/>
        <s v="Georgia"/>
        <s v="Germany"/>
        <s v="Ghana"/>
        <s v="Gibraltar"/>
        <s v="Greece"/>
        <s v="Greenland"/>
        <s v="Grenada"/>
        <s v="Guam"/>
        <s v="Guatemala"/>
        <s v="Guinea"/>
        <s v="GuineaBissau"/>
        <s v="Guyana"/>
        <s v="Haiti"/>
        <s v="Heard Island and McDonald Islands"/>
        <s v="Holy See"/>
        <s v="Honduras"/>
        <s v="Hong Kong"/>
        <s v="Hungary"/>
        <s v="Iceland"/>
        <s v="India"/>
        <s v="Indonesia"/>
        <s v="Iran-Islam.R"/>
        <s v="Iraq"/>
        <s v="Ireland"/>
        <s v="Israel"/>
        <s v="Italy"/>
        <s v="Jamaica"/>
        <s v="Japan"/>
        <s v="Jordan"/>
        <s v="Kazakhstan"/>
        <s v="Kenya"/>
        <s v="Kiribati"/>
        <s v="Korea D P Rp"/>
        <s v="Korea Rep."/>
        <s v="Kuwait"/>
        <s v="Kyrgyzstan"/>
        <s v="Lao P.Dem.R"/>
        <s v="Latvia"/>
        <s v="Lebanon"/>
        <s v="Lesotho"/>
        <s v="Liberia"/>
        <s v="Libya"/>
        <s v="Lithuania"/>
        <s v="Luxemberg"/>
        <s v="Macau"/>
        <s v="Madagascar"/>
        <s v="Malawi"/>
        <s v="Malaysia"/>
        <s v="Maldives"/>
        <s v="Mali"/>
        <s v="Malta"/>
        <s v="Marshall Is"/>
        <s v="Mauritania"/>
        <s v="Mauritius"/>
        <s v="Mexico"/>
        <s v="Micronesia"/>
        <s v="Mongolia"/>
        <s v="Montenegro"/>
        <s v="Montserrat"/>
        <s v="Morocco"/>
        <s v="Mozambique"/>
        <s v="Myanmar"/>
        <s v="N.Mariana Is"/>
        <s v="Namibia"/>
        <s v="Nauru"/>
        <s v="Nepal"/>
        <s v="Netherlands"/>
        <s v="New Calednia"/>
        <s v="New Zealand"/>
        <s v="Nicaragua"/>
        <s v="Niger"/>
        <s v="Nigeria"/>
        <s v="Norfolk Is"/>
        <s v="Norway,Sb,JM"/>
        <s v="Oman"/>
        <s v="Pakistan"/>
        <s v="Palau"/>
        <s v="Panama"/>
        <s v="Papua N.Guin"/>
        <s v="Paraguay"/>
        <s v="Peru"/>
        <s v="Pitcairn"/>
        <s v="Poland"/>
        <s v="Portugal"/>
        <s v="Qatar"/>
        <s v="Rep.Moldova"/>
        <s v="Romania"/>
        <s v="Russian Fed"/>
        <s v="Rwanda"/>
        <s v="Saint Maarten (Dutch part)"/>
        <s v="Samoa"/>
        <s v="San Marino"/>
        <s v="Sao Tome Prn"/>
        <s v="Saudi Arabia"/>
        <s v="Senegal"/>
        <s v="Seychelles"/>
        <s v="Sierra Leone"/>
        <s v="Singapore"/>
        <s v="Slovakia"/>
        <s v="Slovenia"/>
        <s v="Solomon Is"/>
        <s v="Somalia"/>
        <s v="South Africa"/>
        <s v="Spain"/>
        <s v="Sri Lanka"/>
        <s v="St.Helena"/>
        <s v="St.Kitts-Nev"/>
        <s v="St.Lucia"/>
        <s v="St.Pierre,Mq"/>
        <s v="St.Vincent,G"/>
        <s v="Sudan"/>
        <s v="Suriname"/>
        <s v="Swaziland"/>
        <s v="Sweden"/>
        <s v="Switz.Liecht"/>
        <s v="Syrian A.R."/>
        <s v="Tajikistan"/>
        <s v="Tanzania"/>
        <s v="TFYR Macedna"/>
        <s v="Thailand"/>
        <s v="Togo"/>
        <s v="Tokelau"/>
        <s v="Tonga"/>
        <s v="Trinidad Tbg"/>
        <s v="Tunisia"/>
        <s v="Turkey"/>
        <s v="Turkmenistan"/>
        <s v="Turks,Caicos"/>
        <s v="Tuvalu"/>
        <s v="Uganda"/>
        <s v="Ukraine"/>
        <s v="United States Minor Outlying Islands"/>
        <s v="Unspecified"/>
        <s v="Untd Arab Em"/>
        <s v="Untd.Kingdom"/>
        <s v="Uruguay"/>
        <s v="USA,PR,USVI"/>
        <s v="Uzbekistan"/>
        <s v="Vanuatu"/>
        <s v="Venezuela"/>
        <s v="Viet Nam"/>
        <s v="Wallis Fut.I"/>
        <s v="Westn.Sahara"/>
        <s v="Yemen"/>
        <s v="Yugoslavia"/>
        <s v="Zambia"/>
        <s v="Zimbabwe"/>
      </sharedItems>
    </cacheField>
    <cacheField name="[Measures].[TotalTradeValueUSD_Export]" caption="TotalTradeValueUSD_Export" numFmtId="0" hierarchy="14" level="32767"/>
    <cacheField name="[Dim_Date].[Year].[Year]" caption="Year" numFmtId="0" level="1">
      <sharedItems containsSemiMixedTypes="0" containsNonDate="0" containsString="0"/>
    </cacheField>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Period]" caption="Period" attribute="1" defaultMemberUniqueName="[Dim_Date].[Period].[All]" allUniqueName="[Dim_Date].[Period].[All]" dimensionUniqueName="[Dim_Date]" displayFolder="" count="2" memberValueDatatype="130" unbalanced="0"/>
    <cacheHierarchy uniqueName="[Dim_Partner].[Partner]" caption="Partner" attribute="1" defaultMemberUniqueName="[Dim_Partner].[Partner].[All]" allUniqueName="[Dim_Partner].[Partner].[All]" dimensionUniqueName="[Dim_Partner]" displayFolder="" count="2" memberValueDatatype="130" unbalanced="0">
      <fieldsUsage count="2">
        <fieldUsage x="-1"/>
        <fieldUsage x="0"/>
      </fieldsUsage>
    </cacheHierarchy>
    <cacheHierarchy uniqueName="[Dim_Product].[HS2_Code]" caption="HS2_Code" attribute="1" defaultMemberUniqueName="[Dim_Product].[HS2_Code].[All]" allUniqueName="[Dim_Product].[HS2_Code].[All]" dimensionUniqueName="[Dim_Product]" displayFolder="" count="2" memberValueDatatype="130" unbalanced="0"/>
    <cacheHierarchy uniqueName="[Dim_Product].[HS2_Description]" caption="HS2_Description" attribute="1" defaultMemberUniqueName="[Dim_Product].[HS2_Description].[All]" allUniqueName="[Dim_Product].[HS2_Description].[All]" dimensionUniqueName="[Dim_Product]" displayFolder="" count="2"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2" memberValueDatatype="130" unbalanced="0"/>
    <cacheHierarchy uniqueName="[Dim_Product].[HS2_Sort]" caption="HS2_Sort" attribute="1" defaultMemberUniqueName="[Dim_Product].[HS2_Sort].[All]" allUniqueName="[Dim_Product].[HS2_Sort].[All]" dimensionUniqueName="[Dim_Product]" displayFolder="" count="2" memberValueDatatype="5" unbalanced="0"/>
    <cacheHierarchy uniqueName="[Fact_Trade].[Year]" caption="Year" attribute="1" defaultMemberUniqueName="[Fact_Trade].[Year].[All]" allUniqueName="[Fact_Trade].[Year].[All]" dimensionUniqueName="[Fact_Trade]" displayFolder="" count="2" memberValueDatatype="20" unbalanced="0"/>
    <cacheHierarchy uniqueName="[Fact_Trade].[Partner]" caption="Partner" attribute="1" defaultMemberUniqueName="[Fact_Trade].[Partner].[All]" allUniqueName="[Fact_Trade].[Partner].[All]" dimensionUniqueName="[Fact_Trade]" displayFolder="" count="2" memberValueDatatype="130" unbalanced="0"/>
    <cacheHierarchy uniqueName="[Fact_Trade].[HS2_Code]" caption="HS2_Code" attribute="1" defaultMemberUniqueName="[Fact_Trade].[HS2_Code].[All]" allUniqueName="[Fact_Trade].[HS2_Code].[All]" dimensionUniqueName="[Fact_Trade]" displayFolder="" count="2" memberValueDatatype="130" unbalanced="0"/>
    <cacheHierarchy uniqueName="[Fact_Trade].[HS2_Description]" caption="HS2_Description" attribute="1" defaultMemberUniqueName="[Fact_Trade].[HS2_Description].[All]" allUniqueName="[Fact_Trade].[HS2_Description].[All]" dimensionUniqueName="[Fact_Trade]" displayFolder="" count="2" memberValueDatatype="130" unbalanced="0"/>
    <cacheHierarchy uniqueName="[Fact_Trade].[TradeValueUSD]" caption="TradeValueUSD" attribute="1" defaultMemberUniqueName="[Fact_Trade].[TradeValueUSD].[All]" allUniqueName="[Fact_Trade].[TradeValueUSD].[All]" dimensionUniqueName="[Fact_Trade]" displayFolder="" count="2" memberValueDatatype="5" unbalanced="0"/>
    <cacheHierarchy uniqueName="[Fact_Trade].[TradeFlow]" caption="TradeFlow" attribute="1" defaultMemberUniqueName="[Fact_Trade].[TradeFlow].[All]" allUniqueName="[Fact_Trade].[TradeFlow].[All]" dimensionUniqueName="[Fact_Trade]" displayFolder="" count="2"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oneField="1">
      <fieldsUsage count="1">
        <fieldUsage x="1"/>
      </fieldsUsage>
    </cacheHierarchy>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92.52503946759" backgroundQuery="1" createdVersion="8" refreshedVersion="8" minRefreshableVersion="3" recordCount="0" supportSubquery="1" supportAdvancedDrill="1" xr:uid="{A9D27D4B-E769-4614-B47F-58379D2D199F}">
  <cacheSource type="external" connectionId="15"/>
  <cacheFields count="3">
    <cacheField name="[Dim_Partner].[Partner].[Partner]" caption="Partner" numFmtId="0" hierarchy="2" level="1">
      <sharedItems count="223">
        <s v="Afghanistan"/>
        <s v="Albania"/>
        <s v="Algeria"/>
        <s v="American Samoa"/>
        <s v="Andorra"/>
        <s v="Angola"/>
        <s v="Anguilla"/>
        <s v="Antarctica"/>
        <s v="Antigua,Barb"/>
        <s v="Argentina"/>
        <s v="Armenia"/>
        <s v="Aruba"/>
        <s v="Asia Othr.ns"/>
        <s v="Australia"/>
        <s v="Austria"/>
        <s v="Azerbaijan"/>
        <s v="Bahamas"/>
        <s v="Bahrain"/>
        <s v="Bangladesh"/>
        <s v="Barbados"/>
        <s v="Belarus"/>
        <s v="Belgium"/>
        <s v="Belize"/>
        <s v="Bermuda"/>
        <s v="Bhutan"/>
        <s v="Bolivia"/>
        <s v="Bosnia Herzg"/>
        <s v="Botswana"/>
        <s v="Bouvet Island"/>
        <s v="Br.Ind.Oc.Tr"/>
        <s v="Br.Virgin Is"/>
        <s v="Brazil"/>
        <s v="Brunei Darsm"/>
        <s v="Bulgaria"/>
        <s v="Burkina Faso"/>
        <s v="Burundi"/>
        <s v="Cambodia"/>
        <s v="Cameroon"/>
        <s v="Canada"/>
        <s v="Cape Verde"/>
        <s v="Cayman Is"/>
        <s v="Cent.Afr.Rep"/>
        <s v="Chad"/>
        <s v="Chile"/>
        <s v="China"/>
        <s v="Christmas Is"/>
        <s v="Cocos Is"/>
        <s v="Colombia"/>
        <s v="Comoros"/>
        <s v="Congo"/>
        <s v="Cook Is"/>
        <s v="Costa Rica"/>
        <s v="Cote Divoire"/>
        <s v="Croatia"/>
        <s v="Cuba"/>
        <s v="Cyprus"/>
        <s v="Czech Rep"/>
        <s v="Denmark"/>
        <s v="Djibouti"/>
        <s v="Dominica"/>
        <s v="Dominican Rp"/>
        <s v="East Timor"/>
        <s v="Ecuador"/>
        <s v="Egypt"/>
        <s v="El Salvador"/>
        <s v="Eq.Guinea"/>
        <s v="Eritrea"/>
        <s v="Estonia"/>
        <s v="Ethiopia"/>
        <s v="Faeroe Is"/>
        <s v="Falkland Is"/>
        <s v="Fiji"/>
        <s v="Finland"/>
        <s v="Fr.Polynesia"/>
        <s v="Fr.So.Ant.Tr"/>
        <s v="France+Monac"/>
        <s v="Gabon"/>
        <s v="Gambia"/>
        <s v="Georgia"/>
        <s v="Germany"/>
        <s v="Ghana"/>
        <s v="Gibraltar"/>
        <s v="Greece"/>
        <s v="Greenland"/>
        <s v="Grenada"/>
        <s v="Guam"/>
        <s v="Guatemala"/>
        <s v="Guinea"/>
        <s v="GuineaBissau"/>
        <s v="Guyana"/>
        <s v="Haiti"/>
        <s v="Heard Island and McDonald Islands"/>
        <s v="Holy See"/>
        <s v="Honduras"/>
        <s v="Hong Kong"/>
        <s v="Hungary"/>
        <s v="Iceland"/>
        <s v="India"/>
        <s v="Indonesia"/>
        <s v="Iran-Islam.R"/>
        <s v="Iraq"/>
        <s v="Ireland"/>
        <s v="Israel"/>
        <s v="Italy"/>
        <s v="Jamaica"/>
        <s v="Japan"/>
        <s v="Jordan"/>
        <s v="Kazakhstan"/>
        <s v="Kenya"/>
        <s v="Kiribati"/>
        <s v="Korea Rep."/>
        <s v="Kuwait"/>
        <s v="Kyrgyzstan"/>
        <s v="Lao P.Dem.R"/>
        <s v="Latvia"/>
        <s v="Lebanon"/>
        <s v="Lesotho"/>
        <s v="Liberia"/>
        <s v="Libya"/>
        <s v="Lithuania"/>
        <s v="Luxemberg"/>
        <s v="Macau"/>
        <s v="Madagascar"/>
        <s v="Malawi"/>
        <s v="Malaysia"/>
        <s v="Maldives"/>
        <s v="Mali"/>
        <s v="Malta"/>
        <s v="Marshall Is"/>
        <s v="Mauritania"/>
        <s v="Mauritius"/>
        <s v="Mexico"/>
        <s v="Micronesia"/>
        <s v="Mongolia"/>
        <s v="Montenegro"/>
        <s v="Montserrat"/>
        <s v="Morocco"/>
        <s v="Mozambique"/>
        <s v="Myanmar"/>
        <s v="N.Mariana Is"/>
        <s v="Nauru"/>
        <s v="Nepal"/>
        <s v="Netherlands"/>
        <s v="New Calednia"/>
        <s v="New Zealand"/>
        <s v="Nicaragua"/>
        <s v="Niger"/>
        <s v="Nigeria"/>
        <s v="Niue"/>
        <s v="Norfolk Is"/>
        <s v="Norway,Sb,JM"/>
        <s v="Oman"/>
        <s v="Pakistan"/>
        <s v="Palau"/>
        <s v="Panama"/>
        <s v="Papua N.Guin"/>
        <s v="Paraguay"/>
        <s v="Peru"/>
        <s v="Pitcairn"/>
        <s v="Poland"/>
        <s v="Portugal"/>
        <s v="Qatar"/>
        <s v="Rep.Moldova"/>
        <s v="Romania"/>
        <s v="Russian Fed"/>
        <s v="Rwanda"/>
        <s v="Samoa"/>
        <s v="San Marino"/>
        <s v="Sao Tome Prn"/>
        <s v="Saudi Arabia"/>
        <s v="Senegal"/>
        <s v="Seychelles"/>
        <s v="Sierra Leone"/>
        <s v="Singapore"/>
        <s v="Slovakia"/>
        <s v="Slovenia"/>
        <s v="Solomon Is"/>
        <s v="Somalia"/>
        <s v="South Africa"/>
        <s v="Spain"/>
        <s v="Sri Lanka"/>
        <s v="St.Helena"/>
        <s v="St.Kitts-Nev"/>
        <s v="St.Lucia"/>
        <s v="St.Pierre,Mq"/>
        <s v="St.Vincent,G"/>
        <s v="Sudan"/>
        <s v="Suriname"/>
        <s v="Swaziland"/>
        <s v="Sweden"/>
        <s v="Switz.Liecht"/>
        <s v="Syrian A.R."/>
        <s v="Tajikistan"/>
        <s v="Tanzania"/>
        <s v="TFYR Macedna"/>
        <s v="Thailand"/>
        <s v="Togo"/>
        <s v="Tokelau"/>
        <s v="Tonga"/>
        <s v="Trinidad Tbg"/>
        <s v="Tunisia"/>
        <s v="Turkey"/>
        <s v="Turkmenistan"/>
        <s v="Turks,Caicos"/>
        <s v="Tuvalu"/>
        <s v="Uganda"/>
        <s v="Ukraine"/>
        <s v="United States Minor Outlying Islands"/>
        <s v="Unspecified"/>
        <s v="Untd Arab Em"/>
        <s v="Untd.Kingdom"/>
        <s v="Uruguay"/>
        <s v="USA,PR,USVI"/>
        <s v="Uzbekistan"/>
        <s v="Vanuatu"/>
        <s v="Venezuela"/>
        <s v="Viet Nam"/>
        <s v="Wallis Fut.I"/>
        <s v="Westn.Sahara"/>
        <s v="Yemen"/>
        <s v="Yugoslavia"/>
        <s v="Zambia"/>
        <s v="Zimbabwe"/>
      </sharedItems>
    </cacheField>
    <cacheField name="[Measures].[TotalTradeValueUSD_Import]" caption="TotalTradeValueUSD_Import" numFmtId="0" hierarchy="15" level="32767"/>
    <cacheField name="[Dim_Date].[Year].[Year]" caption="Year" numFmtId="0" level="1">
      <sharedItems containsSemiMixedTypes="0" containsNonDate="0" containsString="0"/>
    </cacheField>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2" memberValueDatatype="130" unbalanced="0">
      <fieldsUsage count="2">
        <fieldUsage x="-1"/>
        <fieldUsage x="0"/>
      </fieldsUsage>
    </cacheHierarchy>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oneField="1">
      <fieldsUsage count="1">
        <fieldUsage x="1"/>
      </fieldsUsage>
    </cacheHierarchy>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92.525039814813" backgroundQuery="1" createdVersion="8" refreshedVersion="8" minRefreshableVersion="3" recordCount="0" supportSubquery="1" supportAdvancedDrill="1" xr:uid="{8230D95B-9A31-47F8-B132-4F1F0B2CFCD7}">
  <cacheSource type="external" connectionId="15"/>
  <cacheFields count="3">
    <cacheField name="[Dim_Product].[HS2017_Classification].[HS2017_Classification]" caption="HS2017_Classification" numFmtId="0" hierarchy="5" level="1">
      <sharedItems count="15">
        <s v="Animal &amp; Animal Products"/>
        <s v="Chemicals and Allied Industries"/>
        <s v="Foodstuffs"/>
        <s v="Footwear/Headgear"/>
        <s v="Machinery/Electrical"/>
        <s v="Metals"/>
        <s v="Mineral Products"/>
        <s v="Miscellaneous"/>
        <s v="Plastics/Rubbers"/>
        <s v="Raw Hides, Skins, Leather, &amp; Furs"/>
        <s v="Stone/Glass"/>
        <s v="Textiles"/>
        <s v="Transportation"/>
        <s v="Vegetable Products"/>
        <s v="Wood and Wood Products"/>
      </sharedItems>
    </cacheField>
    <cacheField name="[Measures].[By Sector Export Share %]" caption="By Sector Export Share %" numFmtId="0" hierarchy="20" level="32767"/>
    <cacheField name="[Dim_Date].[Year].[Year]" caption="Year" numFmtId="0" level="1">
      <sharedItems containsSemiMixedTypes="0" containsNonDate="0" containsString="0"/>
    </cacheField>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2" memberValueDatatype="130" unbalanced="0">
      <fieldsUsage count="2">
        <fieldUsage x="-1"/>
        <fieldUsage x="0"/>
      </fieldsUsage>
    </cacheHierarchy>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oneField="1">
      <fieldsUsage count="1">
        <fieldUsage x="1"/>
      </fieldsUsage>
    </cacheHierarchy>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92.525040277775" backgroundQuery="1" createdVersion="8" refreshedVersion="8" minRefreshableVersion="3" recordCount="0" supportSubquery="1" supportAdvancedDrill="1" xr:uid="{6AD0D4B3-2729-43F2-98CA-2F4E897530F7}">
  <cacheSource type="external" connectionId="15"/>
  <cacheFields count="3">
    <cacheField name="[Dim_Product].[HS2017_Classification].[HS2017_Classification]" caption="HS2017_Classification" numFmtId="0" hierarchy="5" level="1">
      <sharedItems count="15">
        <s v="Animal &amp; Animal Products"/>
        <s v="Chemicals and Allied Industries"/>
        <s v="Foodstuffs"/>
        <s v="Footwear/Headgear"/>
        <s v="Machinery/Electrical"/>
        <s v="Metals"/>
        <s v="Mineral Products"/>
        <s v="Miscellaneous"/>
        <s v="Plastics/Rubbers"/>
        <s v="Raw Hides, Skins, Leather, &amp; Furs"/>
        <s v="Stone/Glass"/>
        <s v="Textiles"/>
        <s v="Transportation"/>
        <s v="Vegetable Products"/>
        <s v="Wood and Wood Products"/>
      </sharedItems>
    </cacheField>
    <cacheField name="[Measures].[By Sector Import Share %]" caption="By Sector Import Share %" numFmtId="0" hierarchy="21" level="32767"/>
    <cacheField name="[Dim_Date].[Year].[Year]" caption="Year" numFmtId="0" level="1">
      <sharedItems containsSemiMixedTypes="0" containsNonDate="0" containsString="0"/>
    </cacheField>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2" memberValueDatatype="130" unbalanced="0">
      <fieldsUsage count="2">
        <fieldUsage x="-1"/>
        <fieldUsage x="0"/>
      </fieldsUsage>
    </cacheHierarchy>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oneField="1">
      <fieldsUsage count="1">
        <fieldUsage x="1"/>
      </fieldsUsage>
    </cacheHierarchy>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92.525040509259" backgroundQuery="1" createdVersion="8" refreshedVersion="8" minRefreshableVersion="3" recordCount="0" supportSubquery="1" supportAdvancedDrill="1" xr:uid="{F86C8BB2-9BA9-4B3F-8871-C2AB63AB07D9}">
  <cacheSource type="external" connectionId="15"/>
  <cacheFields count="3">
    <cacheField name="[Dim_Product].[HS2017_Classification].[HS2017_Classification]" caption="HS2017_Classification" numFmtId="0" hierarchy="5" level="1">
      <sharedItems count="15">
        <s v="Animal &amp; Animal Products"/>
        <s v="Chemicals and Allied Industries"/>
        <s v="Foodstuffs"/>
        <s v="Footwear/Headgear"/>
        <s v="Machinery/Electrical"/>
        <s v="Metals"/>
        <s v="Mineral Products"/>
        <s v="Miscellaneous"/>
        <s v="Plastics/Rubbers"/>
        <s v="Raw Hides, Skins, Leather, &amp; Furs"/>
        <s v="Stone/Glass"/>
        <s v="Textiles"/>
        <s v="Transportation"/>
        <s v="Vegetable Products"/>
        <s v="Wood and Wood Products"/>
      </sharedItems>
    </cacheField>
    <cacheField name="[Measures].[TradeBalance]" caption="TradeBalance" numFmtId="0" hierarchy="16" level="32767"/>
    <cacheField name="[Dim_Date].[Year].[Year]" caption="Year" numFmtId="0" level="1">
      <sharedItems containsSemiMixedTypes="0" containsNonDate="0" containsString="0"/>
    </cacheField>
  </cacheFields>
  <cacheHierarchies count="36">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2" memberValueDatatype="130" unbalanced="0">
      <fieldsUsage count="2">
        <fieldUsage x="-1"/>
        <fieldUsage x="0"/>
      </fieldsUsage>
    </cacheHierarchy>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oneField="1">
      <fieldsUsage count="1">
        <fieldUsage x="1"/>
      </fieldsUsage>
    </cacheHierarchy>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dimensions count="5">
    <dimension name="Dim_Date" uniqueName="[Dim_Date]" caption="Dim_Date"/>
    <dimension name="Dim_Partner" uniqueName="[Dim_Partner]" caption="Dim_Partner"/>
    <dimension name="Dim_Product" uniqueName="[Dim_Product]" caption="Dim_Product"/>
    <dimension name="Fact_Trade" uniqueName="[Fact_Trade]" caption="Fact_Trade"/>
    <dimension measure="1" name="Measures" uniqueName="[Measures]" caption="Measures"/>
  </dimensions>
  <measureGroups count="4">
    <measureGroup name="Dim_Date" caption="Dim_Date"/>
    <measureGroup name="Dim_Partner" caption="Dim_Partner"/>
    <measureGroup name="Dim_Product" caption="Dim_Product"/>
    <measureGroup name="Fact_Trade" caption="Fact_Trad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Vir Mercado" refreshedDate="46090.473197222222" backgroundQuery="1" createdVersion="3" refreshedVersion="8" minRefreshableVersion="3" recordCount="0" supportSubquery="1" supportAdvancedDrill="1" xr:uid="{99C81207-8447-4EB1-9263-58119E3DF0D1}">
  <cacheSource type="external" connectionId="15">
    <extLst>
      <ext xmlns:x14="http://schemas.microsoft.com/office/spreadsheetml/2009/9/main" uri="{F057638F-6D5F-4e77-A914-E7F072B9BCA8}">
        <x14:sourceConnection name="ThisWorkbookDataModel"/>
      </ext>
    </extLst>
  </cacheSource>
  <cacheFields count="0"/>
  <cacheHierarchies count="36">
    <cacheHierarchy uniqueName="[Dim_Date].[Year]" caption="Year" attribute="1" defaultMemberUniqueName="[Dim_Date].[Year].[All]" allUniqueName="[Dim_Date].[Year].[All]" dimensionUniqueName="[Dim_Date]" displayFolder="" count="2" memberValueDatatype="20" unbalanced="0"/>
    <cacheHierarchy uniqueName="[Dim_Date].[Period]" caption="Period" attribute="1" defaultMemberUniqueName="[Dim_Date].[Period].[All]" allUniqueName="[Dim_Date].[Period].[All]" dimensionUniqueName="[Dim_Date]" displayFolder="" count="0" memberValueDatatype="130" unbalanced="0"/>
    <cacheHierarchy uniqueName="[Dim_Partner].[Partner]" caption="Partner" attribute="1" defaultMemberUniqueName="[Dim_Partner].[Partner].[All]" allUniqueName="[Dim_Partner].[Partner].[All]" dimensionUniqueName="[Dim_Partner]" displayFolder="" count="0" memberValueDatatype="130" unbalanced="0"/>
    <cacheHierarchy uniqueName="[Dim_Product].[HS2_Code]" caption="HS2_Code" attribute="1" defaultMemberUniqueName="[Dim_Product].[HS2_Code].[All]" allUniqueName="[Dim_Product].[HS2_Code].[All]" dimensionUniqueName="[Dim_Product]" displayFolder="" count="0" memberValueDatatype="130" unbalanced="0"/>
    <cacheHierarchy uniqueName="[Dim_Product].[HS2_Description]" caption="HS2_Description" attribute="1" defaultMemberUniqueName="[Dim_Product].[HS2_Description].[All]" allUniqueName="[Dim_Product].[HS2_Description].[All]" dimensionUniqueName="[Dim_Product]" displayFolder="" count="0" memberValueDatatype="130" unbalanced="0"/>
    <cacheHierarchy uniqueName="[Dim_Product].[HS2017_Classification]" caption="HS2017_Classification" attribute="1" defaultMemberUniqueName="[Dim_Product].[HS2017_Classification].[All]" allUniqueName="[Dim_Product].[HS2017_Classification].[All]" dimensionUniqueName="[Dim_Product]" displayFolder="" count="0" memberValueDatatype="130" unbalanced="0"/>
    <cacheHierarchy uniqueName="[Dim_Product].[HS2_Sort]" caption="HS2_Sort" attribute="1" defaultMemberUniqueName="[Dim_Product].[HS2_Sort].[All]" allUniqueName="[Dim_Product].[HS2_Sort].[All]" dimensionUniqueName="[Dim_Product]" displayFolder="" count="0" memberValueDatatype="5" unbalanced="0"/>
    <cacheHierarchy uniqueName="[Fact_Trade].[Year]" caption="Year" attribute="1" defaultMemberUniqueName="[Fact_Trade].[Year].[All]" allUniqueName="[Fact_Trade].[Year].[All]" dimensionUniqueName="[Fact_Trade]" displayFolder="" count="0" memberValueDatatype="20" unbalanced="0"/>
    <cacheHierarchy uniqueName="[Fact_Trade].[Partner]" caption="Partner" attribute="1" defaultMemberUniqueName="[Fact_Trade].[Partner].[All]" allUniqueName="[Fact_Trade].[Partner].[All]" dimensionUniqueName="[Fact_Trade]" displayFolder="" count="0" memberValueDatatype="130" unbalanced="0"/>
    <cacheHierarchy uniqueName="[Fact_Trade].[HS2_Code]" caption="HS2_Code" attribute="1" defaultMemberUniqueName="[Fact_Trade].[HS2_Code].[All]" allUniqueName="[Fact_Trade].[HS2_Code].[All]" dimensionUniqueName="[Fact_Trade]" displayFolder="" count="0" memberValueDatatype="130" unbalanced="0"/>
    <cacheHierarchy uniqueName="[Fact_Trade].[HS2_Description]" caption="HS2_Description" attribute="1" defaultMemberUniqueName="[Fact_Trade].[HS2_Description].[All]" allUniqueName="[Fact_Trade].[HS2_Description].[All]" dimensionUniqueName="[Fact_Trade]" displayFolder="" count="0" memberValueDatatype="130" unbalanced="0"/>
    <cacheHierarchy uniqueName="[Fact_Trade].[TradeValueUSD]" caption="TradeValueUSD" attribute="1" defaultMemberUniqueName="[Fact_Trade].[TradeValueUSD].[All]" allUniqueName="[Fact_Trade].[TradeValueUSD].[All]" dimensionUniqueName="[Fact_Trade]" displayFolder="" count="0" memberValueDatatype="5" unbalanced="0"/>
    <cacheHierarchy uniqueName="[Fact_Trade].[TradeFlow]" caption="TradeFlow" attribute="1" defaultMemberUniqueName="[Fact_Trade].[TradeFlow].[All]" allUniqueName="[Fact_Trade].[TradeFlow].[All]" dimensionUniqueName="[Fact_Trade]" displayFolder="" count="0" memberValueDatatype="130" unbalanced="0"/>
    <cacheHierarchy uniqueName="[Measures].[Count of HS2017_Classification]" caption="Count of HS2017_Classification" measure="1" displayFolder="" measureGroup="Dim_Product" count="0">
      <extLst>
        <ext xmlns:x15="http://schemas.microsoft.com/office/spreadsheetml/2010/11/main" uri="{B97F6D7D-B522-45F9-BDA1-12C45D357490}">
          <x15:cacheHierarchy aggregatedColumn="5"/>
        </ext>
      </extLst>
    </cacheHierarchy>
    <cacheHierarchy uniqueName="[Measures].[TotalTradeValueUSD_Export]" caption="TotalTradeValueUSD_Export" measure="1" displayFolder="" measureGroup="Fact_Trade" count="0"/>
    <cacheHierarchy uniqueName="[Measures].[TotalTradeValueUSD_Import]" caption="TotalTradeValueUSD_Import" measure="1" displayFolder="" measureGroup="Fact_Trade" count="0"/>
    <cacheHierarchy uniqueName="[Measures].[TradeBalance]" caption="TradeBalance" measure="1" displayFolder="" measureGroup="Fact_Trade" count="0"/>
    <cacheHierarchy uniqueName="[Measures].[Export YoY %]" caption="Export YoY %" measure="1" displayFolder="" measureGroup="Fact_Trade" count="0"/>
    <cacheHierarchy uniqueName="[Measures].[Import YoY %]" caption="Import YoY %" measure="1" displayFolder="" measureGroup="Fact_Trade" count="0"/>
    <cacheHierarchy uniqueName="[Measures].[Trade Balance YoY %]" caption="Trade Balance YoY %" measure="1" displayFolder="" measureGroup="Fact_Trade" count="0"/>
    <cacheHierarchy uniqueName="[Measures].[By Sector Export Share %]" caption="By Sector Export Share %" measure="1" displayFolder="" measureGroup="Fact_Trade" count="0"/>
    <cacheHierarchy uniqueName="[Measures].[By Sector Import Share %]" caption="By Sector Import Share %" measure="1" displayFolder="" measureGroup="Fact_Trade" count="0"/>
    <cacheHierarchy uniqueName="[Measures].[Top 5 Export Share %]" caption="Top 5 Export Share %" measure="1" displayFolder="" measureGroup="Fact_Trade" count="0"/>
    <cacheHierarchy uniqueName="[Measures].[Top 5 Import Share %]" caption="Top 5 Import Share %" measure="1" displayFolder="" measureGroup="Fact_Trade" count="0"/>
    <cacheHierarchy uniqueName="[Measures].[Export-to-Import Ratio %]" caption="Export-to-Import Ratio %" measure="1" displayFolder="" measureGroup="Fact_Trade" count="0"/>
    <cacheHierarchy uniqueName="[Measures].[Top 1 Export Share %]" caption="Top 1 Export Share %" measure="1" displayFolder="" measureGroup="Fact_Trade" count="0"/>
    <cacheHierarchy uniqueName="[Measures].[Top 1 Import Share %]" caption="Top 1 Import Share %" measure="1" displayFolder="" measureGroup="Fact_Trade" count="0"/>
    <cacheHierarchy uniqueName="[Measures].[Ranking Export Partners]" caption="Ranking Export Partners" measure="1" displayFolder="" measureGroup="Fact_Trade" count="0"/>
    <cacheHierarchy uniqueName="[Measures].[Ranking Import Partners]" caption="Ranking Import Partners" measure="1" displayFolder="" measureGroup="Fact_Trade" count="0"/>
    <cacheHierarchy uniqueName="[Measures].[By Partner Export Share %]" caption="By Partner Export Share %" measure="1" displayFolder="" measureGroup="Fact_Trade" count="0"/>
    <cacheHierarchy uniqueName="[Measures].[By Partner Import Share %]" caption="By Partner Import Share %" measure="1" displayFolder="" measureGroup="Fact_Trade" count="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Partner]" caption="__XL_Count Dim_Partner" measure="1" displayFolder="" measureGroup="Dim_Partner" count="0" hidden="1"/>
    <cacheHierarchy uniqueName="[Measures].[__XL_Count Fact_Trade]" caption="__XL_Count Fact_Trade" measure="1" displayFolder="" measureGroup="Fact_Tra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03166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79D35-0247-44D8-98AD-4D447225BB7B}" name="PartnerExport" cacheId="8"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K2:L230" firstHeaderRow="1" firstDataRow="1" firstDataCol="1"/>
  <pivotFields count="3">
    <pivotField axis="axisRow" allDrilled="1" subtotalTop="0" showAll="0" sortType="descending" defaultSubtotal="0" defaultAttributeDrillState="1">
      <items count="2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8">
    <i>
      <x v="216"/>
    </i>
    <i>
      <x v="107"/>
    </i>
    <i>
      <x v="46"/>
    </i>
    <i>
      <x v="96"/>
    </i>
    <i>
      <x v="177"/>
    </i>
    <i>
      <x v="113"/>
    </i>
    <i>
      <x v="199"/>
    </i>
    <i>
      <x v="81"/>
    </i>
    <i>
      <x v="146"/>
    </i>
    <i>
      <x v="14"/>
    </i>
    <i>
      <x v="127"/>
    </i>
    <i>
      <x v="220"/>
    </i>
    <i>
      <x v="99"/>
    </i>
    <i>
      <x v="100"/>
    </i>
    <i>
      <x v="134"/>
    </i>
    <i>
      <x v="77"/>
    </i>
    <i>
      <x v="40"/>
    </i>
    <i>
      <x v="194"/>
    </i>
    <i>
      <x v="214"/>
    </i>
    <i>
      <x v="15"/>
    </i>
    <i>
      <x v="213"/>
    </i>
    <i>
      <x v="58"/>
    </i>
    <i>
      <x v="105"/>
    </i>
    <i>
      <x v="183"/>
    </i>
    <i>
      <x v="23"/>
    </i>
    <i>
      <x v="162"/>
    </i>
    <i>
      <x v="103"/>
    </i>
    <i>
      <x v="33"/>
    </i>
    <i>
      <x v="97"/>
    </i>
    <i>
      <x v="16"/>
    </i>
    <i>
      <x v="182"/>
    </i>
    <i>
      <x v="104"/>
    </i>
    <i>
      <x v="173"/>
    </i>
    <i>
      <x v="59"/>
    </i>
    <i>
      <x v="11"/>
    </i>
    <i>
      <x v="167"/>
    </i>
    <i>
      <x v="205"/>
    </i>
    <i>
      <x v="35"/>
    </i>
    <i>
      <x v="148"/>
    </i>
    <i>
      <x v="164"/>
    </i>
    <i>
      <x v="141"/>
    </i>
    <i>
      <x v="34"/>
    </i>
    <i>
      <x v="101"/>
    </i>
    <i>
      <x v="74"/>
    </i>
    <i>
      <x v="155"/>
    </i>
    <i>
      <x v="166"/>
    </i>
    <i>
      <x v="45"/>
    </i>
    <i>
      <x v="193"/>
    </i>
    <i>
      <x v="160"/>
    </i>
    <i>
      <x v="184"/>
    </i>
    <i>
      <x v="38"/>
    </i>
    <i>
      <x v="130"/>
    </i>
    <i>
      <x v="163"/>
    </i>
    <i>
      <x v="20"/>
    </i>
    <i>
      <x v="62"/>
    </i>
    <i>
      <x v="114"/>
    </i>
    <i>
      <x v="84"/>
    </i>
    <i>
      <x v="53"/>
    </i>
    <i>
      <x v="178"/>
    </i>
    <i>
      <x v="212"/>
    </i>
    <i>
      <x v="49"/>
    </i>
    <i>
      <x v="158"/>
    </i>
    <i>
      <x v="87"/>
    </i>
    <i>
      <x v="139"/>
    </i>
    <i>
      <x v="204"/>
    </i>
    <i>
      <x v="157"/>
    </i>
    <i>
      <x v="124"/>
    </i>
    <i>
      <x v="65"/>
    </i>
    <i>
      <x v="102"/>
    </i>
    <i>
      <x v="19"/>
    </i>
    <i>
      <x v="215"/>
    </i>
    <i>
      <x v="154"/>
    </i>
    <i>
      <x v="153"/>
    </i>
    <i>
      <x v="128"/>
    </i>
    <i>
      <x v="122"/>
    </i>
    <i>
      <x v="120"/>
    </i>
    <i>
      <x v="117"/>
    </i>
    <i>
      <x v="151"/>
    </i>
    <i>
      <x v="123"/>
    </i>
    <i>
      <x v="69"/>
    </i>
    <i>
      <x v="135"/>
    </i>
    <i>
      <x v="110"/>
    </i>
    <i>
      <x v="57"/>
    </i>
    <i>
      <x v="198"/>
    </i>
    <i>
      <x v="64"/>
    </i>
    <i>
      <x v="82"/>
    </i>
    <i>
      <x v="152"/>
    </i>
    <i>
      <x v="147"/>
    </i>
    <i>
      <x v="176"/>
    </i>
    <i>
      <x v="75"/>
    </i>
    <i>
      <x v="224"/>
    </i>
    <i>
      <x v="142"/>
    </i>
    <i>
      <x v="179"/>
    </i>
    <i>
      <x v="56"/>
    </i>
    <i>
      <x v="131"/>
    </i>
    <i>
      <x/>
    </i>
    <i>
      <x v="70"/>
    </i>
    <i>
      <x v="210"/>
    </i>
    <i>
      <x v="156"/>
    </i>
    <i>
      <x v="223"/>
    </i>
    <i>
      <x v="54"/>
    </i>
    <i>
      <x v="108"/>
    </i>
    <i>
      <x v="118"/>
    </i>
    <i>
      <x v="88"/>
    </i>
    <i>
      <x v="55"/>
    </i>
    <i>
      <x v="136"/>
    </i>
    <i>
      <x v="217"/>
    </i>
    <i>
      <x v="39"/>
    </i>
    <i>
      <x v="109"/>
    </i>
    <i>
      <x v="3"/>
    </i>
    <i>
      <x v="73"/>
    </i>
    <i>
      <x v="4"/>
    </i>
    <i>
      <x v="180"/>
    </i>
    <i>
      <x v="197"/>
    </i>
    <i>
      <x v="211"/>
    </i>
    <i>
      <x v="51"/>
    </i>
    <i>
      <x v="95"/>
    </i>
    <i>
      <x v="145"/>
    </i>
    <i>
      <x v="170"/>
    </i>
    <i>
      <x v="80"/>
    </i>
    <i>
      <x v="159"/>
    </i>
    <i>
      <x v="133"/>
    </i>
    <i>
      <x v="116"/>
    </i>
    <i>
      <x v="26"/>
    </i>
    <i>
      <x v="209"/>
    </i>
    <i>
      <x v="28"/>
    </i>
    <i>
      <x v="66"/>
    </i>
    <i>
      <x v="218"/>
    </i>
    <i>
      <x v="10"/>
    </i>
    <i>
      <x v="98"/>
    </i>
    <i>
      <x v="175"/>
    </i>
    <i>
      <x v="111"/>
    </i>
    <i>
      <x v="219"/>
    </i>
    <i>
      <x v="149"/>
    </i>
    <i>
      <x v="6"/>
    </i>
    <i>
      <x v="202"/>
    </i>
    <i>
      <x v="106"/>
    </i>
    <i>
      <x v="18"/>
    </i>
    <i>
      <x v="89"/>
    </i>
    <i>
      <x v="60"/>
    </i>
    <i>
      <x v="17"/>
    </i>
    <i>
      <x v="24"/>
    </i>
    <i>
      <x v="144"/>
    </i>
    <i>
      <x v="181"/>
    </i>
    <i>
      <x v="174"/>
    </i>
    <i>
      <x v="203"/>
    </i>
    <i>
      <x v="190"/>
    </i>
    <i>
      <x v="78"/>
    </i>
    <i>
      <x v="92"/>
    </i>
    <i>
      <x v="129"/>
    </i>
    <i>
      <x v="63"/>
    </i>
    <i>
      <x v="13"/>
    </i>
    <i>
      <x v="121"/>
    </i>
    <i>
      <x v="201"/>
    </i>
    <i>
      <x v="115"/>
    </i>
    <i>
      <x v="5"/>
    </i>
    <i>
      <x v="12"/>
    </i>
    <i>
      <x v="225"/>
    </i>
    <i>
      <x v="22"/>
    </i>
    <i>
      <x v="195"/>
    </i>
    <i>
      <x v="44"/>
    </i>
    <i>
      <x v="191"/>
    </i>
    <i>
      <x v="29"/>
    </i>
    <i>
      <x v="32"/>
    </i>
    <i>
      <x v="192"/>
    </i>
    <i>
      <x v="125"/>
    </i>
    <i>
      <x v="61"/>
    </i>
    <i>
      <x v="42"/>
    </i>
    <i>
      <x v="140"/>
    </i>
    <i>
      <x v="207"/>
    </i>
    <i>
      <x v="91"/>
    </i>
    <i>
      <x v="226"/>
    </i>
    <i>
      <x v="36"/>
    </i>
    <i>
      <x v="165"/>
    </i>
    <i>
      <x v="150"/>
    </i>
    <i>
      <x v="168"/>
    </i>
    <i>
      <x v="200"/>
    </i>
    <i>
      <x v="2"/>
    </i>
    <i>
      <x v="48"/>
    </i>
    <i>
      <x v="27"/>
    </i>
    <i>
      <x v="143"/>
    </i>
    <i>
      <x v="137"/>
    </i>
    <i>
      <x v="21"/>
    </i>
    <i>
      <x v="37"/>
    </i>
    <i>
      <x v="41"/>
    </i>
    <i>
      <x v="79"/>
    </i>
    <i>
      <x v="93"/>
    </i>
    <i>
      <x v="222"/>
    </i>
    <i>
      <x v="30"/>
    </i>
    <i>
      <x v="25"/>
    </i>
    <i>
      <x v="126"/>
    </i>
    <i>
      <x v="196"/>
    </i>
    <i>
      <x v="208"/>
    </i>
    <i>
      <x v="50"/>
    </i>
    <i>
      <x v="68"/>
    </i>
    <i>
      <x v="206"/>
    </i>
    <i>
      <x v="221"/>
    </i>
    <i>
      <x v="172"/>
    </i>
    <i>
      <x v="67"/>
    </i>
    <i>
      <x v="86"/>
    </i>
    <i>
      <x v="188"/>
    </i>
    <i>
      <x v="31"/>
    </i>
    <i>
      <x v="187"/>
    </i>
    <i>
      <x v="186"/>
    </i>
    <i>
      <x v="112"/>
    </i>
    <i>
      <x v="43"/>
    </i>
    <i>
      <x v="85"/>
    </i>
    <i>
      <x v="83"/>
    </i>
    <i>
      <x v="9"/>
    </i>
    <i>
      <x v="132"/>
    </i>
    <i>
      <x v="119"/>
    </i>
    <i>
      <x v="171"/>
    </i>
    <i>
      <x v="52"/>
    </i>
    <i>
      <x v="169"/>
    </i>
    <i>
      <x v="76"/>
    </i>
    <i>
      <x v="94"/>
    </i>
    <i>
      <x v="90"/>
    </i>
    <i>
      <x v="72"/>
    </i>
    <i>
      <x v="71"/>
    </i>
    <i>
      <x v="47"/>
    </i>
    <i>
      <x v="1"/>
    </i>
    <i>
      <x v="7"/>
    </i>
    <i>
      <x v="161"/>
    </i>
    <i>
      <x v="138"/>
    </i>
    <i>
      <x v="189"/>
    </i>
    <i>
      <x v="8"/>
    </i>
    <i>
      <x v="185"/>
    </i>
    <i t="grand">
      <x/>
    </i>
  </rowItems>
  <colItems count="1">
    <i/>
  </colItems>
  <dataFields count="1">
    <dataField fld="1" subtotal="count" showDataAs="percentOfTotal" baseField="0" baseItem="0" numFmtId="1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rtner]"/>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9CAC1-03C3-4762-BF0D-7D5050E099D0}" name="TotalTradeBalance" cacheId="5" applyNumberFormats="0" applyBorderFormats="0" applyFontFormats="0" applyPatternFormats="0" applyAlignmentFormats="0" applyWidthHeightFormats="1" dataCaption="Values" tag="8a22e8da-1ed5-49e8-8fec-0bd9d430f42c" updatedVersion="8" minRefreshableVersion="3" useAutoFormatting="1" subtotalHiddenItems="1" itemPrintTitles="1" createdVersion="8" indent="0" showHeaders="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Trade Balance (US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rade Balance (US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8511FE-3BB2-4C83-BC5D-D9BE01C39AF1}" name="TradeBalanceYoY" cacheId="2" applyNumberFormats="0" applyBorderFormats="0" applyFontFormats="0" applyPatternFormats="0" applyAlignmentFormats="0" applyWidthHeightFormats="1" dataCaption="Values" tag="34692473-b5b0-43bb-b96c-5b9f840f2920" updatedVersion="8" minRefreshableVersion="3" useAutoFormatting="1" subtotalHiddenItems="1" itemPrintTitles="1" createdVersion="8" indent="0" showHeaders="0" outline="1" outlineData="1" multipleFieldFilters="0">
  <location ref="H5:I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DA7E75-91BD-4DD8-85DB-097D47DF2B33}" name="TotalTradeExport" cacheId="7" applyNumberFormats="0" applyBorderFormats="0" applyFontFormats="0" applyPatternFormats="0" applyAlignmentFormats="0" applyWidthHeightFormats="1" dataCaption="Values" tag="203cb744-3b55-46d0-8710-2d933ce3eec6" updatedVersion="8" minRefreshableVersion="3" useAutoFormatting="1" subtotalHiddenItems="1" itemPrintTitles="1" createdVersion="8" indent="0" showHeaders="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Total Export (US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Export (US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F7C29C-E200-4A69-8936-94E371E69515}" name="SectorTradeBalance" cacheId="1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F2:AG18"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6"/>
    </i>
    <i>
      <x v="12"/>
    </i>
    <i>
      <x v="1"/>
    </i>
    <i>
      <x v="5"/>
    </i>
    <i>
      <x v="2"/>
    </i>
    <i>
      <x v="8"/>
    </i>
    <i>
      <x/>
    </i>
    <i>
      <x v="13"/>
    </i>
    <i>
      <x v="14"/>
    </i>
    <i>
      <x v="7"/>
    </i>
    <i>
      <x v="11"/>
    </i>
    <i>
      <x v="3"/>
    </i>
    <i>
      <x v="10"/>
    </i>
    <i>
      <x v="9"/>
    </i>
    <i>
      <x v="4"/>
    </i>
    <i t="grand">
      <x/>
    </i>
  </rowItems>
  <colItems count="1">
    <i/>
  </colItems>
  <dataFields count="1">
    <dataField fld="1" subtotal="count" baseField="0" baseItem="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8EBC07-377C-44E3-8EDB-723C95F87E0E}" name="ImportYoY" cacheId="3" applyNumberFormats="0" applyBorderFormats="0" applyFontFormats="0" applyPatternFormats="0" applyAlignmentFormats="0" applyWidthHeightFormats="1" dataCaption="Values" tag="51dc2dc6-3cae-46c2-99d3-554a8bb6d93a" updatedVersion="8" minRefreshableVersion="3" useAutoFormatting="1" subtotalHiddenItems="1" itemPrintTitles="1" createdVersion="8" indent="0" showHeaders="0" outline="1" outlineData="1" multipleFieldFilters="0">
  <location ref="E5:F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4B1874-4994-42BF-B445-8926CDE45F7D}" name="ExportImportRatio"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B12:B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110A90-2EAB-4AFB-B5A1-A5A6AF9FFD0B}" name="SectorExport" cacheId="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Y2:Z18"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3"/>
    </i>
    <i>
      <x/>
    </i>
    <i>
      <x v="9"/>
    </i>
    <i>
      <x v="14"/>
    </i>
    <i>
      <x v="11"/>
    </i>
    <i>
      <x v="1"/>
    </i>
    <i>
      <x v="8"/>
    </i>
    <i>
      <x v="10"/>
    </i>
    <i>
      <x v="12"/>
    </i>
    <i>
      <x v="2"/>
    </i>
    <i>
      <x v="6"/>
    </i>
    <i>
      <x v="7"/>
    </i>
    <i>
      <x v="5"/>
    </i>
    <i>
      <x v="13"/>
    </i>
    <i>
      <x v="4"/>
    </i>
    <i t="grand">
      <x/>
    </i>
  </rowItems>
  <colItems count="1">
    <i/>
  </colItems>
  <dataFields count="1">
    <dataField fld="1" subtotal="count" baseField="0" baseItem="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ED5CC1-AFB4-4F31-9DCE-DE7D372E2090}" name="ExportYoY" cacheId="4" applyNumberFormats="0" applyBorderFormats="0" applyFontFormats="0" applyPatternFormats="0" applyAlignmentFormats="0" applyWidthHeightFormats="1" dataCaption="Values" tag="ef210ba6-e2c7-4040-87b0-7cb5942a7fb3" updatedVersion="8" minRefreshableVersion="3" useAutoFormatting="1" subtotalHiddenItems="1" itemPrintTitles="1" createdVersion="8" indent="0" showHeaders="0" outline="1" outlineData="1" multipleFieldFilters="0">
  <location ref="B5:C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6B8675-2CC5-4E51-9DE5-01F8D508C352}" name="TopShares" cacheId="1" applyNumberFormats="0" applyBorderFormats="0" applyFontFormats="0" applyPatternFormats="0" applyAlignmentFormats="0" applyWidthHeightFormats="1" dataCaption="Values" tag="1b6960f8-6cd3-4f75-a986-9eaa5712c429" updatedVersion="8" minRefreshableVersion="3" useAutoFormatting="1" itemPrintTitles="1" createdVersion="8" indent="0" showHeaders="0" outline="1" outlineData="1" multipleFieldFilters="0">
  <location ref="B15:F22"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Fields count="1">
    <field x="-2"/>
  </colFields>
  <colItems count="4">
    <i>
      <x/>
    </i>
    <i i="1">
      <x v="1"/>
    </i>
    <i i="2">
      <x v="2"/>
    </i>
    <i i="3">
      <x v="3"/>
    </i>
  </colItems>
  <dataFields count="4">
    <dataField fld="0" subtotal="count" baseField="0" baseItem="0"/>
    <dataField fld="2" subtotal="count" baseField="0" baseItem="0"/>
    <dataField fld="1"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A068AF-D1CD-454C-9295-0DB6E2B69B16}" name="PartnerImport" cacheId="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R2:S226" firstHeaderRow="1" firstDataRow="1" firstDataCol="1"/>
  <pivotFields count="3">
    <pivotField axis="axisRow" allDrilled="1" subtotalTop="0" showAll="0" sortType="descending" defaultSubtotal="0" defaultAttributeDrillState="1">
      <items count="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4">
    <i>
      <x v="44"/>
    </i>
    <i>
      <x v="105"/>
    </i>
    <i>
      <x v="98"/>
    </i>
    <i>
      <x v="110"/>
    </i>
    <i>
      <x v="212"/>
    </i>
    <i>
      <x v="195"/>
    </i>
    <i>
      <x v="173"/>
    </i>
    <i>
      <x v="124"/>
    </i>
    <i>
      <x v="12"/>
    </i>
    <i>
      <x v="216"/>
    </i>
    <i>
      <x v="94"/>
    </i>
    <i>
      <x v="13"/>
    </i>
    <i>
      <x v="79"/>
    </i>
    <i>
      <x v="97"/>
    </i>
    <i>
      <x v="169"/>
    </i>
    <i>
      <x v="31"/>
    </i>
    <i>
      <x v="209"/>
    </i>
    <i>
      <x v="75"/>
    </i>
    <i>
      <x v="103"/>
    </i>
    <i>
      <x v="38"/>
    </i>
    <i>
      <x v="210"/>
    </i>
    <i>
      <x v="179"/>
    </i>
    <i>
      <x v="142"/>
    </i>
    <i>
      <x v="164"/>
    </i>
    <i>
      <x v="21"/>
    </i>
    <i>
      <x v="144"/>
    </i>
    <i>
      <x v="9"/>
    </i>
    <i>
      <x v="190"/>
    </i>
    <i>
      <x v="161"/>
    </i>
    <i>
      <x v="111"/>
    </i>
    <i>
      <x v="102"/>
    </i>
    <i>
      <x v="32"/>
    </i>
    <i>
      <x v="101"/>
    </i>
    <i>
      <x v="131"/>
    </i>
    <i>
      <x v="100"/>
    </i>
    <i>
      <x v="57"/>
    </i>
    <i>
      <x v="155"/>
    </i>
    <i>
      <x v="138"/>
    </i>
    <i>
      <x v="189"/>
    </i>
    <i>
      <x v="201"/>
    </i>
    <i>
      <x v="72"/>
    </i>
    <i>
      <x v="159"/>
    </i>
    <i>
      <x v="152"/>
    </i>
    <i>
      <x v="14"/>
    </i>
    <i>
      <x v="206"/>
    </i>
    <i>
      <x v="56"/>
    </i>
    <i>
      <x v="43"/>
    </i>
    <i>
      <x v="147"/>
    </i>
    <i>
      <x v="33"/>
    </i>
    <i>
      <x v="151"/>
    </i>
    <i>
      <x v="18"/>
    </i>
    <i>
      <x v="157"/>
    </i>
    <i>
      <x v="150"/>
    </i>
    <i>
      <x v="178"/>
    </i>
    <i>
      <x v="36"/>
    </i>
    <i>
      <x v="163"/>
    </i>
    <i>
      <x v="175"/>
    </i>
    <i>
      <x v="119"/>
    </i>
    <i>
      <x v="121"/>
    </i>
    <i>
      <x v="2"/>
    </i>
    <i>
      <x v="107"/>
    </i>
    <i>
      <x v="65"/>
    </i>
    <i>
      <x v="17"/>
    </i>
    <i>
      <x v="127"/>
    </i>
    <i>
      <x v="82"/>
    </i>
    <i>
      <x v="95"/>
    </i>
    <i>
      <x v="63"/>
    </i>
    <i>
      <x v="136"/>
    </i>
    <i>
      <x v="47"/>
    </i>
    <i>
      <x v="140"/>
    </i>
    <i>
      <x v="211"/>
    </i>
    <i>
      <x v="51"/>
    </i>
    <i>
      <x v="154"/>
    </i>
    <i>
      <x v="60"/>
    </i>
    <i>
      <x v="160"/>
    </i>
    <i>
      <x v="62"/>
    </i>
    <i>
      <x v="130"/>
    </i>
    <i>
      <x v="132"/>
    </i>
    <i>
      <x v="220"/>
    </i>
    <i>
      <x v="5"/>
    </i>
    <i>
      <x v="180"/>
    </i>
    <i>
      <x v="106"/>
    </i>
    <i>
      <x v="20"/>
    </i>
    <i>
      <x v="128"/>
    </i>
    <i>
      <x v="109"/>
    </i>
    <i>
      <x v="113"/>
    </i>
    <i>
      <x v="55"/>
    </i>
    <i>
      <x v="214"/>
    </i>
    <i>
      <x v="120"/>
    </i>
    <i>
      <x v="76"/>
    </i>
    <i>
      <x v="176"/>
    </i>
    <i>
      <x v="86"/>
    </i>
    <i>
      <x v="196"/>
    </i>
    <i>
      <x v="26"/>
    </i>
    <i>
      <x v="137"/>
    </i>
    <i>
      <x v="200"/>
    </i>
    <i>
      <x v="53"/>
    </i>
    <i>
      <x v="108"/>
    </i>
    <i>
      <x v="213"/>
    </i>
    <i>
      <x v="193"/>
    </i>
    <i>
      <x v="174"/>
    </i>
    <i>
      <x v="67"/>
    </i>
    <i>
      <x v="96"/>
    </i>
    <i>
      <x v="54"/>
    </i>
    <i>
      <x v="93"/>
    </i>
    <i>
      <x v="66"/>
    </i>
    <i>
      <x v="123"/>
    </i>
    <i>
      <x v="222"/>
    </i>
    <i>
      <x v="64"/>
    </i>
    <i>
      <x v="78"/>
    </i>
    <i>
      <x v="204"/>
    </i>
    <i>
      <x v="114"/>
    </i>
    <i>
      <x v="171"/>
    </i>
    <i>
      <x v="85"/>
    </i>
    <i>
      <x v="71"/>
    </i>
    <i>
      <x v="80"/>
    </i>
    <i>
      <x v="99"/>
    </i>
    <i>
      <x v="170"/>
    </i>
    <i>
      <x v="8"/>
    </i>
    <i>
      <x v="215"/>
    </i>
    <i>
      <x v="69"/>
    </i>
    <i>
      <x v="68"/>
    </i>
    <i>
      <x v="156"/>
    </i>
    <i>
      <x v="221"/>
    </i>
    <i>
      <x v="162"/>
    </i>
    <i>
      <x v="194"/>
    </i>
    <i>
      <x v="122"/>
    </i>
    <i>
      <x v="104"/>
    </i>
    <i>
      <x v="37"/>
    </i>
    <i>
      <x v="4"/>
    </i>
    <i>
      <x v="125"/>
    </i>
    <i>
      <x v="25"/>
    </i>
    <i>
      <x v="208"/>
    </i>
    <i>
      <x v="1"/>
    </i>
    <i>
      <x v="145"/>
    </i>
    <i>
      <x v="186"/>
    </i>
    <i>
      <x v="166"/>
    </i>
    <i>
      <x v="30"/>
    </i>
    <i>
      <x v="172"/>
    </i>
    <i>
      <x v="149"/>
    </i>
    <i>
      <x v="133"/>
    </i>
    <i>
      <x v="45"/>
    </i>
    <i>
      <x v="73"/>
    </i>
    <i>
      <x v="89"/>
    </i>
    <i>
      <x v="52"/>
    </i>
    <i>
      <x v="115"/>
    </i>
    <i>
      <x v="146"/>
    </i>
    <i>
      <x v="167"/>
    </i>
    <i>
      <x v="3"/>
    </i>
    <i>
      <x v="199"/>
    </i>
    <i>
      <x v="141"/>
    </i>
    <i>
      <x v="10"/>
    </i>
    <i>
      <x v="58"/>
    </i>
    <i>
      <x v="207"/>
    </i>
    <i>
      <x v="46"/>
    </i>
    <i>
      <x v="188"/>
    </i>
    <i>
      <x v="116"/>
    </i>
    <i>
      <x v="143"/>
    </i>
    <i>
      <x v="187"/>
    </i>
    <i>
      <x v="112"/>
    </i>
    <i>
      <x v="90"/>
    </i>
    <i>
      <x v="15"/>
    </i>
    <i>
      <x v="6"/>
    </i>
    <i>
      <x v="49"/>
    </i>
    <i>
      <x/>
    </i>
    <i>
      <x v="126"/>
    </i>
    <i>
      <x v="191"/>
    </i>
    <i>
      <x v="205"/>
    </i>
    <i>
      <x v="139"/>
    </i>
    <i>
      <x v="34"/>
    </i>
    <i>
      <x v="42"/>
    </i>
    <i>
      <x v="87"/>
    </i>
    <i>
      <x v="185"/>
    </i>
    <i>
      <x v="41"/>
    </i>
    <i>
      <x v="197"/>
    </i>
    <i>
      <x v="81"/>
    </i>
    <i>
      <x v="153"/>
    </i>
    <i>
      <x v="217"/>
    </i>
    <i>
      <x v="59"/>
    </i>
    <i>
      <x v="83"/>
    </i>
    <i>
      <x v="19"/>
    </i>
    <i>
      <x v="192"/>
    </i>
    <i>
      <x v="29"/>
    </i>
    <i>
      <x v="84"/>
    </i>
    <i>
      <x v="203"/>
    </i>
    <i>
      <x v="22"/>
    </i>
    <i>
      <x v="177"/>
    </i>
    <i>
      <x v="74"/>
    </i>
    <i>
      <x v="202"/>
    </i>
    <i>
      <x v="117"/>
    </i>
    <i>
      <x v="61"/>
    </i>
    <i>
      <x v="165"/>
    </i>
    <i>
      <x v="27"/>
    </i>
    <i>
      <x v="70"/>
    </i>
    <i>
      <x v="168"/>
    </i>
    <i>
      <x v="91"/>
    </i>
    <i>
      <x v="40"/>
    </i>
    <i>
      <x v="77"/>
    </i>
    <i>
      <x v="135"/>
    </i>
    <i>
      <x v="39"/>
    </i>
    <i>
      <x v="182"/>
    </i>
    <i>
      <x v="118"/>
    </i>
    <i>
      <x v="158"/>
    </i>
    <i>
      <x v="92"/>
    </i>
    <i>
      <x v="23"/>
    </i>
    <i>
      <x v="183"/>
    </i>
    <i>
      <x v="219"/>
    </i>
    <i>
      <x v="181"/>
    </i>
    <i>
      <x v="16"/>
    </i>
    <i>
      <x v="28"/>
    </i>
    <i>
      <x v="129"/>
    </i>
    <i>
      <x v="11"/>
    </i>
    <i>
      <x v="88"/>
    </i>
    <i>
      <x v="198"/>
    </i>
    <i>
      <x v="218"/>
    </i>
    <i>
      <x v="24"/>
    </i>
    <i>
      <x v="35"/>
    </i>
    <i>
      <x v="148"/>
    </i>
    <i>
      <x v="7"/>
    </i>
    <i>
      <x v="134"/>
    </i>
    <i>
      <x v="50"/>
    </i>
    <i>
      <x v="48"/>
    </i>
    <i>
      <x v="184"/>
    </i>
    <i t="grand">
      <x/>
    </i>
  </rowItems>
  <colItems count="1">
    <i/>
  </colItems>
  <dataFields count="1">
    <dataField fld="1" subtotal="count" showDataAs="percentOfTotal" baseField="0" baseItem="0" numFmtId="1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rtner]"/>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939304-69B0-4A35-97A0-42B0C74FEB73}" name="TotalTradeImport" cacheId="6" applyNumberFormats="0" applyBorderFormats="0" applyFontFormats="0" applyPatternFormats="0" applyAlignmentFormats="0" applyWidthHeightFormats="1" dataCaption="Values" tag="93240ff1-3d65-4908-8791-d85a3deb6379" updatedVersion="8" minRefreshableVersion="3" useAutoFormatting="1" subtotalHiddenItems="1" itemPrintTitles="1" createdVersion="8" indent="0" showHeaders="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Total Import (US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Import (US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887C9B-4D3D-40F6-B5E9-A0D9223A1990}" name="SectorImport" cacheId="1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Y20:Z36"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9"/>
    </i>
    <i>
      <x v="3"/>
    </i>
    <i>
      <x v="10"/>
    </i>
    <i>
      <x v="11"/>
    </i>
    <i>
      <x v="14"/>
    </i>
    <i>
      <x/>
    </i>
    <i>
      <x v="8"/>
    </i>
    <i>
      <x v="7"/>
    </i>
    <i>
      <x v="13"/>
    </i>
    <i>
      <x v="2"/>
    </i>
    <i>
      <x v="5"/>
    </i>
    <i>
      <x v="1"/>
    </i>
    <i>
      <x v="12"/>
    </i>
    <i>
      <x v="6"/>
    </i>
    <i>
      <x v="4"/>
    </i>
    <i t="grand">
      <x/>
    </i>
  </rowItems>
  <colItems count="1">
    <i/>
  </colItems>
  <dataFields count="1">
    <dataField fld="1" subtotal="count" baseField="0" baseItem="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Tra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567A12-B5AC-497C-8FE3-23FBCBA93993}" sourceName="[Dim_Date].[Year]">
  <pivotTables>
    <pivotTable tabId="7" name="PartnerExport"/>
    <pivotTable tabId="7" name="PartnerImport"/>
    <pivotTable tabId="7" name="SectorExport"/>
    <pivotTable tabId="7" name="SectorImport"/>
    <pivotTable tabId="7" name="SectorTradeBalance"/>
  </pivotTables>
  <data>
    <olap pivotCacheId="1020316615">
      <levels count="2">
        <level uniqueName="[Dim_Date].[Year].[(All)]" sourceCaption="(All)" count="0"/>
        <level uniqueName="[Dim_Date].[Year].[Year]" sourceCaption="Year" count="6">
          <ranges>
            <range startItem="0">
              <i n="[Dim_Date].[Year].&amp;[2019]" c="2019"/>
              <i n="[Dim_Date].[Year].&amp;[2020]" c="2020"/>
              <i n="[Dim_Date].[Year].&amp;[2021]" c="2021"/>
              <i n="[Dim_Date].[Year].&amp;[2022]" c="2022"/>
              <i n="[Dim_Date].[Year].&amp;[2023]" c="2023"/>
              <i n="[Dim_Date].[Year].&amp;[2024]" c="2024"/>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9A68334-9895-437F-ABCA-1B3695DBF249}" cache="Slicer_Year" caption="Year" columnCount="2" level="1" lockedPosition="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2CF0CAF-78DE-407A-95DF-7D9AA8990E97}" cache="Slicer_Year" caption="Year" level="1" lockedPosition="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E17FE45-6222-4E13-92DB-1A48D9068D4B}" cache="Slicer_Year" caption="Year" level="1" lockedPosition="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DF1E-9933-4703-8789-BBC455FC63C9}">
  <dimension ref="B1:J30"/>
  <sheetViews>
    <sheetView showGridLines="0" workbookViewId="0"/>
  </sheetViews>
  <sheetFormatPr defaultRowHeight="15" x14ac:dyDescent="0.25"/>
  <cols>
    <col min="2" max="7" width="25.7109375" customWidth="1"/>
    <col min="8" max="8" width="10.7109375" customWidth="1"/>
    <col min="9" max="10" width="25.7109375" customWidth="1"/>
  </cols>
  <sheetData>
    <row r="1" spans="2:6" ht="9.9499999999999993" customHeight="1" x14ac:dyDescent="0.25"/>
    <row r="2" spans="2:6" ht="26.25" x14ac:dyDescent="0.25">
      <c r="B2" s="30" t="s">
        <v>253</v>
      </c>
      <c r="C2" s="30"/>
      <c r="D2" s="30"/>
      <c r="E2" s="12"/>
    </row>
    <row r="3" spans="2:6" ht="20.25" x14ac:dyDescent="0.25">
      <c r="B3" s="31" t="s">
        <v>254</v>
      </c>
      <c r="C3" s="31"/>
      <c r="D3" s="31"/>
    </row>
    <row r="4" spans="2:6" ht="9.9499999999999993" customHeight="1" x14ac:dyDescent="0.25"/>
    <row r="5" spans="2:6" x14ac:dyDescent="0.25">
      <c r="B5" s="4" t="s">
        <v>267</v>
      </c>
      <c r="C5" s="4" t="s">
        <v>268</v>
      </c>
      <c r="D5" s="4" t="s">
        <v>269</v>
      </c>
      <c r="E5" s="4" t="str">
        <f>Pivot_Backend!B12</f>
        <v>Export-to-Import Ratio %</v>
      </c>
    </row>
    <row r="6" spans="2:6" ht="20.25" x14ac:dyDescent="0.25">
      <c r="B6" s="11">
        <f>GETPIVOTDATA("[Measures].[TotalTradeValueUSD_Export]",Pivot_Backend!$B$2)</f>
        <v>435596355042</v>
      </c>
      <c r="C6" s="10">
        <f>GETPIVOTDATA("[Measures].[TotalTradeValueUSD_Import]",Pivot_Backend!$E$2)</f>
        <v>751217254065</v>
      </c>
      <c r="D6" s="26">
        <f>GETPIVOTDATA("[Measures].[TradeBalance]",Pivot_Backend!$H$2)</f>
        <v>-315620899023</v>
      </c>
      <c r="E6" s="7">
        <f>GETPIVOTDATA("[Measures].[Export-to-Import Ratio %]",Pivot_Backend!$B$12)</f>
        <v>0.57985403381630729</v>
      </c>
    </row>
    <row r="7" spans="2:6" ht="15" customHeight="1" x14ac:dyDescent="0.25"/>
    <row r="8" spans="2:6" x14ac:dyDescent="0.25">
      <c r="B8" s="29" t="str">
        <f>Pivot_Backend!C5</f>
        <v>Export YoY %</v>
      </c>
      <c r="C8" s="29"/>
      <c r="D8" s="29"/>
      <c r="E8" s="29"/>
      <c r="F8" s="29"/>
    </row>
    <row r="9" spans="2:6" ht="15.75" x14ac:dyDescent="0.25">
      <c r="B9" s="13">
        <f>Pivot_Backend!B6</f>
        <v>2020</v>
      </c>
      <c r="C9" s="14">
        <f>Pivot_Backend!B7</f>
        <v>2021</v>
      </c>
      <c r="D9" s="14">
        <f>Pivot_Backend!B8</f>
        <v>2022</v>
      </c>
      <c r="E9" s="14">
        <f>Pivot_Backend!B9</f>
        <v>2023</v>
      </c>
      <c r="F9" s="14">
        <f>Pivot_Backend!B10</f>
        <v>2024</v>
      </c>
    </row>
    <row r="10" spans="2:6" ht="20.25" x14ac:dyDescent="0.25">
      <c r="B10" s="7">
        <f>GETPIVOTDATA("[Measures].[Export YoY %]",Pivot_Backend!$B$5,"[Dim_Date].[Year]","[Dim_Date].[Year].&amp;[2020]")</f>
        <v>-8.0537251451220551E-2</v>
      </c>
      <c r="C10" s="7">
        <f>GETPIVOTDATA("[Measures].[Export YoY %]",Pivot_Backend!$B$5,"[Dim_Date].[Year]","[Dim_Date].[Year].&amp;[2021]")</f>
        <v>0.14421797371419848</v>
      </c>
      <c r="D10" s="7">
        <f>GETPIVOTDATA("[Measures].[Export YoY %]",Pivot_Backend!$B$5,"[Dim_Date].[Year]","[Dim_Date].[Year].&amp;[2022]")</f>
        <v>5.7746134314889647E-2</v>
      </c>
      <c r="E10" s="7">
        <f>GETPIVOTDATA("[Measures].[Export YoY %]",Pivot_Backend!$B$5,"[Dim_Date].[Year]","[Dim_Date].[Year].&amp;[2023]")</f>
        <v>-7.6084454272064519E-2</v>
      </c>
      <c r="F10" s="7">
        <f>GETPIVOTDATA("[Measures].[Export YoY %]",Pivot_Backend!$B$5,"[Dim_Date].[Year]","[Dim_Date].[Year].&amp;[2024]")</f>
        <v>8.3140686978647443E-4</v>
      </c>
    </row>
    <row r="11" spans="2:6" ht="15" customHeight="1" x14ac:dyDescent="0.25">
      <c r="C11" s="5"/>
    </row>
    <row r="12" spans="2:6" x14ac:dyDescent="0.25">
      <c r="B12" s="32" t="str">
        <f>Pivot_Backend!F5</f>
        <v>Import YoY %</v>
      </c>
      <c r="C12" s="33"/>
      <c r="D12" s="33"/>
      <c r="E12" s="33"/>
      <c r="F12" s="34"/>
    </row>
    <row r="13" spans="2:6" ht="15.75" x14ac:dyDescent="0.25">
      <c r="B13" s="14">
        <f>Pivot_Backend!E6</f>
        <v>2020</v>
      </c>
      <c r="C13" s="15">
        <f>Pivot_Backend!E7</f>
        <v>2021</v>
      </c>
      <c r="D13" s="14">
        <f>Pivot_Backend!E8</f>
        <v>2022</v>
      </c>
      <c r="E13" s="14">
        <f>Pivot_Backend!E9</f>
        <v>2023</v>
      </c>
      <c r="F13" s="14">
        <f>Pivot_Backend!E10</f>
        <v>2024</v>
      </c>
    </row>
    <row r="14" spans="2:6" ht="20.25" x14ac:dyDescent="0.25">
      <c r="B14" s="7">
        <f>GETPIVOTDATA("[Measures].[Import YoY %]",Pivot_Backend!$E$5,"[Dim_Date].[Year]","[Dim_Date].[Year].&amp;[2020]")</f>
        <v>-0.18917681152707455</v>
      </c>
      <c r="C14" s="7">
        <f>GETPIVOTDATA("[Measures].[Import YoY %]",Pivot_Backend!$E$5,"[Dim_Date].[Year]","[Dim_Date].[Year].&amp;[2021]")</f>
        <v>0.30845306503557796</v>
      </c>
      <c r="D14" s="7">
        <f>GETPIVOTDATA("[Measures].[Import YoY %]",Pivot_Backend!$E$5,"[Dim_Date].[Year]","[Dim_Date].[Year].&amp;[2022]")</f>
        <v>0.17275901091111356</v>
      </c>
      <c r="E14" s="7">
        <f>GETPIVOTDATA("[Measures].[Import YoY %]",Pivot_Backend!$E$5,"[Dim_Date].[Year]","[Dim_Date].[Year].&amp;[2023]")</f>
        <v>-8.3139413150378205E-2</v>
      </c>
      <c r="F14" s="7">
        <f>GETPIVOTDATA("[Measures].[Import YoY %]",Pivot_Backend!$E$5,"[Dim_Date].[Year]","[Dim_Date].[Year].&amp;[2024]")</f>
        <v>8.4443500235070485E-3</v>
      </c>
    </row>
    <row r="15" spans="2:6" ht="15" customHeight="1" x14ac:dyDescent="0.25"/>
    <row r="16" spans="2:6" x14ac:dyDescent="0.25">
      <c r="B16" s="32" t="str">
        <f>Pivot_Backend!I5</f>
        <v>Trade Balance YoY %</v>
      </c>
      <c r="C16" s="33"/>
      <c r="D16" s="33"/>
      <c r="E16" s="33"/>
      <c r="F16" s="34"/>
    </row>
    <row r="17" spans="2:10" ht="15.75" x14ac:dyDescent="0.25">
      <c r="B17" s="14">
        <f>Pivot_Backend!H6</f>
        <v>2020</v>
      </c>
      <c r="C17" s="14">
        <f>Pivot_Backend!H7</f>
        <v>2021</v>
      </c>
      <c r="D17" s="14">
        <f>Pivot_Backend!H8</f>
        <v>2022</v>
      </c>
      <c r="E17" s="14">
        <f>Pivot_Backend!H9</f>
        <v>2023</v>
      </c>
      <c r="F17" s="14">
        <f>Pivot_Backend!H10</f>
        <v>2024</v>
      </c>
    </row>
    <row r="18" spans="2:10" ht="20.25" x14ac:dyDescent="0.25">
      <c r="B18" s="7">
        <f>GETPIVOTDATA("[Measures].[Trade Balance YoY %]",Pivot_Backend!$H$5,"[Dim_Date].[Year]","[Dim_Date].[Year].&amp;[2020]")</f>
        <v>-0.3555270818889455</v>
      </c>
      <c r="C18" s="7">
        <f>GETPIVOTDATA("[Measures].[Trade Balance YoY %]",Pivot_Backend!$H$5,"[Dim_Date].[Year]","[Dim_Date].[Year].&amp;[2021]")</f>
        <v>0.66723530385093022</v>
      </c>
      <c r="D18" s="7">
        <f>GETPIVOTDATA("[Measures].[Trade Balance YoY %]",Pivot_Backend!$H$5,"[Dim_Date].[Year]","[Dim_Date].[Year].&amp;[2022]")</f>
        <v>0.34519317362241048</v>
      </c>
      <c r="E18" s="7">
        <f>GETPIVOTDATA("[Measures].[Trade Balance YoY %]",Pivot_Backend!$H$5,"[Dim_Date].[Year]","[Dim_Date].[Year].&amp;[2023]")</f>
        <v>-9.1456440422537894E-2</v>
      </c>
      <c r="F18" s="7">
        <f>GETPIVOTDATA("[Measures].[Trade Balance YoY %]",Pivot_Backend!$H$5,"[Dim_Date].[Year]","[Dim_Date].[Year].&amp;[2024]")</f>
        <v>1.7571028398431124E-2</v>
      </c>
    </row>
    <row r="19" spans="2:10" ht="15" customHeight="1" x14ac:dyDescent="0.25">
      <c r="B19" s="9"/>
      <c r="C19" s="9"/>
      <c r="D19" s="9"/>
      <c r="E19" s="9"/>
      <c r="F19" s="9"/>
    </row>
    <row r="20" spans="2:10" ht="24.95" customHeight="1" x14ac:dyDescent="0.25">
      <c r="B20" s="29" t="s">
        <v>262</v>
      </c>
      <c r="C20" s="29"/>
      <c r="D20" s="29"/>
      <c r="E20" s="29"/>
      <c r="F20" s="29"/>
      <c r="G20" s="29"/>
      <c r="I20" s="18" t="s">
        <v>248</v>
      </c>
      <c r="J20" s="17"/>
    </row>
    <row r="21" spans="2:10" ht="24.95" customHeight="1" x14ac:dyDescent="0.25">
      <c r="B21" s="35">
        <f>Pivot_Backend!B16</f>
        <v>2019</v>
      </c>
      <c r="C21" s="35"/>
      <c r="D21" s="35">
        <f>Pivot_Backend!B17</f>
        <v>2020</v>
      </c>
      <c r="E21" s="35"/>
      <c r="F21" s="35">
        <f>Pivot_Backend!B18</f>
        <v>2021</v>
      </c>
      <c r="G21" s="35"/>
      <c r="I21" s="18" t="s">
        <v>249</v>
      </c>
      <c r="J21" s="17"/>
    </row>
    <row r="22" spans="2:10" ht="24.95" customHeight="1" x14ac:dyDescent="0.25">
      <c r="B22" s="4" t="str">
        <f>Pivot_Backend!C15</f>
        <v>Top 1 Export Share %</v>
      </c>
      <c r="C22" s="4" t="str">
        <f>Pivot_Backend!D15</f>
        <v>Top 5 Export Share %</v>
      </c>
      <c r="D22" s="4" t="str">
        <f>Pivot_Backend!C15</f>
        <v>Top 1 Export Share %</v>
      </c>
      <c r="E22" s="4" t="str">
        <f>Pivot_Backend!D15</f>
        <v>Top 5 Export Share %</v>
      </c>
      <c r="F22" s="6" t="str">
        <f>Pivot_Backend!C15</f>
        <v>Top 1 Export Share %</v>
      </c>
      <c r="G22" s="6" t="str">
        <f>Pivot_Backend!D15</f>
        <v>Top 5 Export Share %</v>
      </c>
      <c r="I22" s="18" t="s">
        <v>250</v>
      </c>
      <c r="J22" s="17"/>
    </row>
    <row r="23" spans="2:10" ht="24.95" customHeight="1" x14ac:dyDescent="0.25">
      <c r="B23" s="7">
        <f>GETPIVOTDATA("[Measures].[Top 1 Export Share %]",Pivot_Backend!$B$15,"[Dim_Date].[Year]","[Dim_Date].[Year].&amp;[2019]")</f>
        <v>0.16318078733032673</v>
      </c>
      <c r="C23" s="7">
        <f>GETPIVOTDATA("[Measures].[Top 5 Export Share %]",Pivot_Backend!$B$15,"[Dim_Date].[Year]","[Dim_Date].[Year].&amp;[2019]")</f>
        <v>0.64178821579204148</v>
      </c>
      <c r="D23" s="7">
        <f>GETPIVOTDATA("[Measures].[Top 1 Export Share %]",Pivot_Backend!$B$15,"[Dim_Date].[Year]","[Dim_Date].[Year].&amp;[2020]")</f>
        <v>0.15386699444565571</v>
      </c>
      <c r="E23" s="7">
        <f>GETPIVOTDATA("[Measures].[Top 5 Export Share %]",Pivot_Backend!$B$15,"[Dim_Date].[Year]","[Dim_Date].[Year].&amp;[2020]")</f>
        <v>0.65769197447844452</v>
      </c>
      <c r="F23" s="8">
        <f>GETPIVOTDATA("[Measures].[Top 1 Export Share %]",Pivot_Backend!$B$15,"[Dim_Date].[Year]","[Dim_Date].[Year].&amp;[2021]")</f>
        <v>0.15892163076955096</v>
      </c>
      <c r="G23" s="8">
        <f>GETPIVOTDATA("[Measures].[Top 5 Export Share %]",Pivot_Backend!$B$15,"[Dim_Date].[Year]","[Dim_Date].[Year].&amp;[2021]")</f>
        <v>0.64645451989359726</v>
      </c>
      <c r="I23" s="18" t="s">
        <v>251</v>
      </c>
      <c r="J23" s="17"/>
    </row>
    <row r="24" spans="2:10" x14ac:dyDescent="0.25">
      <c r="B24" s="4" t="str">
        <f>Pivot_Backend!E15</f>
        <v>Top 1 Import Share %</v>
      </c>
      <c r="C24" s="4" t="str">
        <f>Pivot_Backend!F15</f>
        <v>Top 5 Import Share %</v>
      </c>
      <c r="D24" s="4" t="str">
        <f>Pivot_Backend!E15</f>
        <v>Top 1 Import Share %</v>
      </c>
      <c r="E24" s="4" t="str">
        <f>Pivot_Backend!F15</f>
        <v>Top 5 Import Share %</v>
      </c>
      <c r="F24" s="6" t="str">
        <f>Pivot_Backend!E15</f>
        <v>Top 1 Import Share %</v>
      </c>
      <c r="G24" s="6" t="str">
        <f>Pivot_Backend!F15</f>
        <v>Top 5 Import Share %</v>
      </c>
    </row>
    <row r="25" spans="2:10" ht="20.25" x14ac:dyDescent="0.25">
      <c r="B25" s="7">
        <f>GETPIVOTDATA("[Measures].[Top 1 Import Share %]",Pivot_Backend!$B$15,"[Dim_Date].[Year]","[Dim_Date].[Year].&amp;[2019]")</f>
        <v>0.22820473550878778</v>
      </c>
      <c r="C25" s="7">
        <f>GETPIVOTDATA("[Measures].[Top 5 Import Share %]",Pivot_Backend!$B$15,"[Dim_Date].[Year]","[Dim_Date].[Year].&amp;[2019]")</f>
        <v>0.53381854460074529</v>
      </c>
      <c r="D25" s="7">
        <f>GETPIVOTDATA("[Measures].[Top 1 Import Share %]",Pivot_Backend!$B$15,"[Dim_Date].[Year]","[Dim_Date].[Year].&amp;[2020]")</f>
        <v>0.23152228318299978</v>
      </c>
      <c r="E25" s="7">
        <f>GETPIVOTDATA("[Measures].[Top 5 Import Share %]",Pivot_Backend!$B$15,"[Dim_Date].[Year]","[Dim_Date].[Year].&amp;[2020]")</f>
        <v>0.54693928366910161</v>
      </c>
      <c r="F25" s="8">
        <f>GETPIVOTDATA("[Measures].[Top 1 Import Share %]",Pivot_Backend!$B$15,"[Dim_Date].[Year]","[Dim_Date].[Year].&amp;[2021]")</f>
        <v>0.22678863813221015</v>
      </c>
      <c r="G25" s="8">
        <f>GETPIVOTDATA("[Measures].[Top 5 Import Share %]",Pivot_Backend!$B$15,"[Dim_Date].[Year]","[Dim_Date].[Year].&amp;[2021]")</f>
        <v>0.53847597295112792</v>
      </c>
    </row>
    <row r="26" spans="2:10" ht="15.75" x14ac:dyDescent="0.25">
      <c r="B26" s="35">
        <f>Pivot_Backend!B19</f>
        <v>2022</v>
      </c>
      <c r="C26" s="35"/>
      <c r="D26" s="35">
        <f>Pivot_Backend!B20</f>
        <v>2023</v>
      </c>
      <c r="E26" s="35"/>
      <c r="F26" s="35">
        <f>Pivot_Backend!B21</f>
        <v>2024</v>
      </c>
      <c r="G26" s="35"/>
    </row>
    <row r="27" spans="2:10" x14ac:dyDescent="0.25">
      <c r="B27" s="6" t="str">
        <f>Pivot_Backend!C15</f>
        <v>Top 1 Export Share %</v>
      </c>
      <c r="C27" s="6" t="str">
        <f>Pivot_Backend!D15</f>
        <v>Top 5 Export Share %</v>
      </c>
      <c r="D27" s="6" t="str">
        <f>Pivot_Backend!C15</f>
        <v>Top 1 Export Share %</v>
      </c>
      <c r="E27" s="6" t="str">
        <f>Pivot_Backend!D15</f>
        <v>Top 5 Export Share %</v>
      </c>
      <c r="F27" s="6" t="str">
        <f>Pivot_Backend!C15</f>
        <v>Top 1 Export Share %</v>
      </c>
      <c r="G27" s="6" t="str">
        <f>Pivot_Backend!D15</f>
        <v>Top 5 Export Share %</v>
      </c>
    </row>
    <row r="28" spans="2:10" ht="20.25" x14ac:dyDescent="0.25">
      <c r="B28" s="8">
        <f>GETPIVOTDATA("[Measures].[Top 1 Export Share %]",Pivot_Backend!$B$15,"[Dim_Date].[Year]","[Dim_Date].[Year].&amp;[2022]")</f>
        <v>0.15807895646239409</v>
      </c>
      <c r="C28" s="8">
        <f>GETPIVOTDATA("[Measures].[Top 5 Export Share %]",Pivot_Backend!$B$15,"[Dim_Date].[Year]","[Dim_Date].[Year].&amp;[2022]")</f>
        <v>0.6325301844795177</v>
      </c>
      <c r="D28" s="8">
        <f>GETPIVOTDATA("[Measures].[Top 1 Export Share %]",Pivot_Backend!$B$15,"[Dim_Date].[Year]","[Dim_Date].[Year].&amp;[2023]")</f>
        <v>0.15672625012630292</v>
      </c>
      <c r="E28" s="8">
        <f>GETPIVOTDATA("[Measures].[Top 5 Export Share %]",Pivot_Backend!$B$15,"[Dim_Date].[Year]","[Dim_Date].[Year].&amp;[2023]")</f>
        <v>0.61428636729681185</v>
      </c>
      <c r="F28" s="8">
        <f>GETPIVOTDATA("[Measures].[Top 1 Export Share %]",Pivot_Backend!$B$15,"[Dim_Date].[Year]","[Dim_Date].[Year].&amp;[2024]")</f>
        <v>0.16609622684172803</v>
      </c>
      <c r="G28" s="8">
        <f>GETPIVOTDATA("[Measures].[Top 5 Export Share %]",Pivot_Backend!$B$15,"[Dim_Date].[Year]","[Dim_Date].[Year].&amp;[2024]")</f>
        <v>0.61608018478616589</v>
      </c>
    </row>
    <row r="29" spans="2:10" x14ac:dyDescent="0.25">
      <c r="B29" s="6" t="str">
        <f>Pivot_Backend!E15</f>
        <v>Top 1 Import Share %</v>
      </c>
      <c r="C29" s="6" t="str">
        <f>Pivot_Backend!F15</f>
        <v>Top 5 Import Share %</v>
      </c>
      <c r="D29" s="6" t="str">
        <f>Pivot_Backend!E15</f>
        <v>Top 1 Import Share %</v>
      </c>
      <c r="E29" s="6" t="str">
        <f>Pivot_Backend!F15</f>
        <v>Top 5 Import Share %</v>
      </c>
      <c r="F29" s="6" t="str">
        <f>Pivot_Backend!E15</f>
        <v>Top 1 Import Share %</v>
      </c>
      <c r="G29" s="6" t="str">
        <f>Pivot_Backend!F15</f>
        <v>Top 5 Import Share %</v>
      </c>
    </row>
    <row r="30" spans="2:10" ht="20.25" x14ac:dyDescent="0.25">
      <c r="B30" s="8">
        <f>GETPIVOTDATA("[Measures].[Top 1 Import Share %]",Pivot_Backend!$B$15,"[Dim_Date].[Year]","[Dim_Date].[Year].&amp;[2022]")</f>
        <v>0.20425242252615519</v>
      </c>
      <c r="C30" s="8">
        <f>GETPIVOTDATA("[Measures].[Top 5 Import Share %]",Pivot_Backend!$B$15,"[Dim_Date].[Year]","[Dim_Date].[Year].&amp;[2022]")</f>
        <v>0.54317857356716726</v>
      </c>
      <c r="D30" s="8">
        <f>GETPIVOTDATA("[Measures].[Top 1 Import Share %]",Pivot_Backend!$B$15,"[Dim_Date].[Year]","[Dim_Date].[Year].&amp;[2023]")</f>
        <v>0.23127858514662983</v>
      </c>
      <c r="E30" s="8">
        <f>GETPIVOTDATA("[Measures].[Top 5 Import Share %]",Pivot_Backend!$B$15,"[Dim_Date].[Year]","[Dim_Date].[Year].&amp;[2023]")</f>
        <v>0.5392953906045117</v>
      </c>
      <c r="F30" s="8">
        <f>GETPIVOTDATA("[Measures].[Top 1 Import Share %]",Pivot_Backend!$B$15,"[Dim_Date].[Year]","[Dim_Date].[Year].&amp;[2024]")</f>
        <v>0.25576472756772917</v>
      </c>
      <c r="G30" s="8">
        <f>GETPIVOTDATA("[Measures].[Top 5 Import Share %]",Pivot_Backend!$B$15,"[Dim_Date].[Year]","[Dim_Date].[Year].&amp;[2024]")</f>
        <v>0.55847645713351102</v>
      </c>
    </row>
  </sheetData>
  <sheetProtection sheet="1" objects="1" scenarios="1" selectLockedCells="1" pivotTables="0"/>
  <mergeCells count="12">
    <mergeCell ref="B26:C26"/>
    <mergeCell ref="D26:E26"/>
    <mergeCell ref="F26:G26"/>
    <mergeCell ref="B20:G20"/>
    <mergeCell ref="B21:C21"/>
    <mergeCell ref="D21:E21"/>
    <mergeCell ref="F21:G21"/>
    <mergeCell ref="B8:F8"/>
    <mergeCell ref="B2:D2"/>
    <mergeCell ref="B3:D3"/>
    <mergeCell ref="B12:F12"/>
    <mergeCell ref="B16:F16"/>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0CAD51FC-582E-4CB3-B92F-320C591C2973}">
            <x14:iconSet custom="1">
              <x14:cfvo type="percent">
                <xm:f>0</xm:f>
              </x14:cfvo>
              <x14:cfvo type="percent">
                <xm:f>33</xm:f>
              </x14:cfvo>
              <x14:cfvo type="percent">
                <xm:f>67</xm:f>
              </x14:cfvo>
              <x14:cfIcon iconSet="3Triangles" iconId="0"/>
              <x14:cfIcon iconSet="3Triangles" iconId="1"/>
              <x14:cfIcon iconSet="3Triangles" iconId="2"/>
            </x14:iconSet>
          </x14:cfRule>
          <xm:sqref>B10:F10</xm:sqref>
        </x14:conditionalFormatting>
        <x14:conditionalFormatting xmlns:xm="http://schemas.microsoft.com/office/excel/2006/main">
          <x14:cfRule type="iconSet" priority="3" id="{4D5696A9-4C7E-4E19-95DB-3BC7F1A8B31D}">
            <x14:iconSet custom="1">
              <x14:cfvo type="percent">
                <xm:f>0</xm:f>
              </x14:cfvo>
              <x14:cfvo type="percent">
                <xm:f>33</xm:f>
              </x14:cfvo>
              <x14:cfvo type="percent">
                <xm:f>67</xm:f>
              </x14:cfvo>
              <x14:cfIcon iconSet="3Triangles" iconId="0"/>
              <x14:cfIcon iconSet="3Triangles" iconId="1"/>
              <x14:cfIcon iconSet="3Triangles" iconId="2"/>
            </x14:iconSet>
          </x14:cfRule>
          <xm:sqref>B14:F14</xm:sqref>
        </x14:conditionalFormatting>
        <x14:conditionalFormatting xmlns:xm="http://schemas.microsoft.com/office/excel/2006/main">
          <x14:cfRule type="iconSet" priority="1" id="{745422B9-A95D-4AEB-9389-B3D0E198BAF9}">
            <x14:iconSet custom="1">
              <x14:cfvo type="percent">
                <xm:f>0</xm:f>
              </x14:cfvo>
              <x14:cfvo type="percent">
                <xm:f>33</xm:f>
              </x14:cfvo>
              <x14:cfvo type="percent">
                <xm:f>67</xm:f>
              </x14:cfvo>
              <x14:cfIcon iconSet="3Triangles" iconId="0"/>
              <x14:cfIcon iconSet="3Triangles" iconId="1"/>
              <x14:cfIcon iconSet="3Triangles" iconId="2"/>
            </x14:iconSet>
          </x14:cfRule>
          <xm:sqref>B18:F19</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high="1" low="1" xr2:uid="{7CAD1861-469E-4DEC-9518-4585C91D5903}">
          <x14:colorSeries rgb="FF376092"/>
          <x14:colorNegative rgb="FFD00000"/>
          <x14:colorAxis rgb="FF000000"/>
          <x14:colorMarkers rgb="FFD00000"/>
          <x14:colorFirst rgb="FFD00000"/>
          <x14:colorLast rgb="FFD00000"/>
          <x14:colorHigh theme="6"/>
          <x14:colorLow rgb="FFD00000"/>
          <x14:sparklines>
            <x14:sparkline>
              <xm:f>Pivot_Backend!C28:H28</xm:f>
              <xm:sqref>J23</xm:sqref>
            </x14:sparkline>
          </x14:sparklines>
        </x14:sparklineGroup>
        <x14:sparklineGroup manualMax="0" manualMin="0" displayEmptyCellsAs="gap" high="1" low="1" xr2:uid="{3EE66716-D6CB-40FD-8FEC-7731B8C8EA9C}">
          <x14:colorSeries rgb="FF376092"/>
          <x14:colorNegative rgb="FFD00000"/>
          <x14:colorAxis rgb="FF000000"/>
          <x14:colorMarkers rgb="FFD00000"/>
          <x14:colorFirst rgb="FFD00000"/>
          <x14:colorLast rgb="FFD00000"/>
          <x14:colorHigh theme="6"/>
          <x14:colorLow rgb="FFD00000"/>
          <x14:sparklines>
            <x14:sparkline>
              <xm:f>Pivot_Backend!C27:H27</xm:f>
              <xm:sqref>J22</xm:sqref>
            </x14:sparkline>
          </x14:sparklines>
        </x14:sparklineGroup>
        <x14:sparklineGroup manualMax="0" manualMin="0" displayEmptyCellsAs="gap" high="1" low="1" xr2:uid="{8299A476-C070-4B8A-8098-04BC1EB743D7}">
          <x14:colorSeries rgb="FF376092"/>
          <x14:colorNegative rgb="FFD00000"/>
          <x14:colorAxis rgb="FF000000"/>
          <x14:colorMarkers rgb="FFD00000"/>
          <x14:colorFirst rgb="FFD00000"/>
          <x14:colorLast rgb="FFD00000"/>
          <x14:colorHigh theme="6"/>
          <x14:colorLow rgb="FFD00000"/>
          <x14:sparklines>
            <x14:sparkline>
              <xm:f>Pivot_Backend!C26:H26</xm:f>
              <xm:sqref>J21</xm:sqref>
            </x14:sparkline>
          </x14:sparklines>
        </x14:sparklineGroup>
        <x14:sparklineGroup manualMax="0" manualMin="0" displayEmptyCellsAs="gap" high="1" low="1" xr2:uid="{4E9B4809-8C96-4FD1-AB5F-024BB5B6C6F2}">
          <x14:colorSeries rgb="FF376092"/>
          <x14:colorNegative rgb="FFD00000"/>
          <x14:colorAxis rgb="FF000000"/>
          <x14:colorMarkers rgb="FFD00000"/>
          <x14:colorFirst rgb="FFD00000"/>
          <x14:colorLast rgb="FFD00000"/>
          <x14:colorHigh theme="6"/>
          <x14:colorLow rgb="FFD00000"/>
          <x14:sparklines>
            <x14:sparkline>
              <xm:f>Pivot_Backend!C25:H25</xm:f>
              <xm:sqref>J20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4F78-F991-465C-8AC9-D6A2A435A71F}">
  <dimension ref="B1:P25"/>
  <sheetViews>
    <sheetView showGridLines="0" workbookViewId="0">
      <selection activeCell="L25" activeCellId="2" sqref="L23:P23 L24:M24 L25:M25"/>
    </sheetView>
  </sheetViews>
  <sheetFormatPr defaultRowHeight="15" x14ac:dyDescent="0.25"/>
  <cols>
    <col min="4" max="4" width="22" bestFit="1" customWidth="1"/>
    <col min="5" max="5" width="9.140625" customWidth="1"/>
    <col min="6" max="6" width="12.28515625" customWidth="1"/>
    <col min="9" max="10" width="2.28515625" customWidth="1"/>
    <col min="12" max="12" width="22" customWidth="1"/>
    <col min="13" max="13" width="9.140625" customWidth="1"/>
    <col min="14" max="14" width="12.28515625" customWidth="1"/>
    <col min="15" max="15" width="9.140625" customWidth="1"/>
  </cols>
  <sheetData>
    <row r="1" spans="2:4" ht="9.9499999999999993" customHeight="1" x14ac:dyDescent="0.25"/>
    <row r="2" spans="2:4" ht="26.25" x14ac:dyDescent="0.4">
      <c r="B2" s="19" t="s">
        <v>270</v>
      </c>
    </row>
    <row r="3" spans="2:4" ht="19.5" customHeight="1" x14ac:dyDescent="0.3">
      <c r="B3" s="20" t="s">
        <v>271</v>
      </c>
    </row>
    <row r="4" spans="2:4" ht="15" customHeight="1" x14ac:dyDescent="0.3">
      <c r="D4" s="20"/>
    </row>
    <row r="6" spans="2:4" ht="9.9499999999999993" customHeight="1" x14ac:dyDescent="0.25"/>
    <row r="7" spans="2:4" ht="9.9499999999999993" customHeight="1" x14ac:dyDescent="0.25"/>
    <row r="23" spans="3:16" x14ac:dyDescent="0.25">
      <c r="C23" s="29" t="s">
        <v>272</v>
      </c>
      <c r="D23" s="29"/>
      <c r="E23" s="29"/>
      <c r="F23" s="29"/>
      <c r="G23" s="29"/>
      <c r="L23" s="29" t="s">
        <v>273</v>
      </c>
      <c r="M23" s="29"/>
      <c r="N23" s="29"/>
      <c r="O23" s="29"/>
      <c r="P23" s="29"/>
    </row>
    <row r="24" spans="3:16" ht="20.25" x14ac:dyDescent="0.25">
      <c r="C24" s="38" t="s">
        <v>275</v>
      </c>
      <c r="D24" s="38"/>
      <c r="E24" s="36">
        <f>Pivot_Backend!$L3</f>
        <v>0.15952172495864914</v>
      </c>
      <c r="F24" s="36"/>
      <c r="G24" s="36"/>
      <c r="L24" s="38" t="s">
        <v>275</v>
      </c>
      <c r="M24" s="38"/>
      <c r="N24" s="36">
        <f>Pivot_Backend!$S3</f>
        <v>0.22923443743758815</v>
      </c>
      <c r="O24" s="36"/>
      <c r="P24" s="36"/>
    </row>
    <row r="25" spans="3:16" ht="20.25" x14ac:dyDescent="0.25">
      <c r="C25" s="38" t="s">
        <v>274</v>
      </c>
      <c r="D25" s="38"/>
      <c r="E25" s="37">
        <f>SUM(Pivot_Backend!$L3:$L7)</f>
        <v>0.63293570718105918</v>
      </c>
      <c r="F25" s="37"/>
      <c r="G25" s="37"/>
      <c r="L25" s="38" t="s">
        <v>274</v>
      </c>
      <c r="M25" s="38"/>
      <c r="N25" s="37">
        <f>SUM(Pivot_Backend!$S3:$S7)</f>
        <v>0.54347028056636515</v>
      </c>
      <c r="O25" s="37"/>
      <c r="P25" s="37"/>
    </row>
  </sheetData>
  <sheetProtection sheet="1" objects="1" scenarios="1" selectLockedCells="1" pivotTables="0"/>
  <mergeCells count="10">
    <mergeCell ref="C23:G23"/>
    <mergeCell ref="E24:G24"/>
    <mergeCell ref="E25:G25"/>
    <mergeCell ref="L23:P23"/>
    <mergeCell ref="N24:P24"/>
    <mergeCell ref="N25:P25"/>
    <mergeCell ref="C25:D25"/>
    <mergeCell ref="L25:M25"/>
    <mergeCell ref="L24:M24"/>
    <mergeCell ref="C24:D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56B2-4D86-46E6-AA02-073EBF5D128E}">
  <dimension ref="B1:W30"/>
  <sheetViews>
    <sheetView showGridLines="0" workbookViewId="0"/>
  </sheetViews>
  <sheetFormatPr defaultRowHeight="15" x14ac:dyDescent="0.25"/>
  <cols>
    <col min="1" max="1" width="9.140625" customWidth="1"/>
    <col min="4" max="6" width="9.140625" customWidth="1"/>
    <col min="12" max="13" width="9.140625" customWidth="1"/>
    <col min="14" max="14" width="2.28515625" customWidth="1"/>
    <col min="15" max="15" width="9.140625" customWidth="1"/>
  </cols>
  <sheetData>
    <row r="1" spans="2:4" ht="9.9499999999999993" customHeight="1" x14ac:dyDescent="0.25"/>
    <row r="2" spans="2:4" ht="26.25" x14ac:dyDescent="0.4">
      <c r="B2" s="19" t="s">
        <v>276</v>
      </c>
    </row>
    <row r="3" spans="2:4" ht="19.5" customHeight="1" x14ac:dyDescent="0.3">
      <c r="B3" s="20" t="s">
        <v>271</v>
      </c>
    </row>
    <row r="4" spans="2:4" ht="15" customHeight="1" x14ac:dyDescent="0.3">
      <c r="D4" s="20"/>
    </row>
    <row r="6" spans="2:4" ht="9.9499999999999993" customHeight="1" x14ac:dyDescent="0.25"/>
    <row r="7" spans="2:4" ht="9.9499999999999993" customHeight="1" x14ac:dyDescent="0.25"/>
    <row r="8" spans="2:4" ht="15" customHeight="1" x14ac:dyDescent="0.25"/>
    <row r="9" spans="2:4" ht="15" customHeight="1" x14ac:dyDescent="0.25"/>
    <row r="10" spans="2:4" ht="15" customHeight="1" x14ac:dyDescent="0.25"/>
    <row r="11" spans="2:4" ht="15" customHeight="1" x14ac:dyDescent="0.25"/>
    <row r="12" spans="2:4" ht="15" customHeight="1" x14ac:dyDescent="0.25"/>
    <row r="13" spans="2:4" ht="15" customHeight="1" x14ac:dyDescent="0.25"/>
    <row r="14" spans="2:4" ht="15" customHeight="1" x14ac:dyDescent="0.25"/>
    <row r="15" spans="2:4" ht="15" customHeight="1" x14ac:dyDescent="0.25"/>
    <row r="16" spans="2:4" ht="15" customHeight="1" x14ac:dyDescent="0.25"/>
    <row r="17" spans="3:23" ht="15" customHeight="1" x14ac:dyDescent="0.25"/>
    <row r="18" spans="3:23" ht="15" customHeight="1" x14ac:dyDescent="0.25"/>
    <row r="19" spans="3:23" ht="15" customHeight="1" x14ac:dyDescent="0.25"/>
    <row r="20" spans="3:23" ht="15" customHeight="1" x14ac:dyDescent="0.25"/>
    <row r="21" spans="3:23" ht="15" customHeight="1" x14ac:dyDescent="0.25"/>
    <row r="22" spans="3:23" ht="15" customHeight="1" x14ac:dyDescent="0.25"/>
    <row r="23" spans="3:23" ht="15" customHeight="1" x14ac:dyDescent="0.25">
      <c r="C23" s="22"/>
      <c r="D23" s="22"/>
      <c r="E23" s="22"/>
      <c r="F23" s="22"/>
      <c r="G23" s="22"/>
      <c r="K23" s="22"/>
      <c r="L23" s="22"/>
      <c r="M23" s="22"/>
      <c r="N23" s="22"/>
      <c r="O23" s="22"/>
    </row>
    <row r="24" spans="3:23" ht="15" customHeight="1" x14ac:dyDescent="0.25">
      <c r="C24" s="22"/>
      <c r="D24" s="22"/>
      <c r="E24" s="23"/>
      <c r="F24" s="23"/>
      <c r="G24" s="23"/>
      <c r="K24" s="22"/>
      <c r="L24" s="22"/>
      <c r="M24" s="23"/>
      <c r="N24" s="23"/>
      <c r="O24" s="23"/>
    </row>
    <row r="25" spans="3:23" ht="15" customHeight="1" x14ac:dyDescent="0.25">
      <c r="C25" s="22"/>
      <c r="D25" s="22"/>
      <c r="E25" s="24"/>
      <c r="F25" s="24"/>
      <c r="G25" s="24"/>
      <c r="K25" s="22"/>
      <c r="L25" s="22"/>
      <c r="M25" s="24"/>
      <c r="N25" s="24"/>
      <c r="O25" s="24"/>
    </row>
    <row r="26" spans="3:23" ht="15" customHeight="1" x14ac:dyDescent="0.25"/>
    <row r="27" spans="3:23" ht="15" customHeight="1" x14ac:dyDescent="0.25">
      <c r="E27" s="29" t="s">
        <v>272</v>
      </c>
      <c r="F27" s="29"/>
      <c r="G27" s="29"/>
      <c r="H27" s="29"/>
      <c r="I27" s="29"/>
      <c r="J27" s="29"/>
      <c r="R27" s="29" t="s">
        <v>273</v>
      </c>
      <c r="S27" s="29"/>
      <c r="T27" s="29"/>
      <c r="U27" s="29"/>
      <c r="V27" s="29"/>
      <c r="W27" s="29"/>
    </row>
    <row r="28" spans="3:23" ht="30" customHeight="1" x14ac:dyDescent="0.25">
      <c r="E28" s="38" t="s">
        <v>277</v>
      </c>
      <c r="F28" s="38"/>
      <c r="G28" s="38"/>
      <c r="H28" s="36">
        <f>Pivot_Backend!$Z17</f>
        <v>0.63654360919586939</v>
      </c>
      <c r="I28" s="36"/>
      <c r="J28" s="36"/>
      <c r="R28" s="38" t="s">
        <v>277</v>
      </c>
      <c r="S28" s="38"/>
      <c r="T28" s="38"/>
      <c r="U28" s="36">
        <f>Pivot_Backend!$Z35</f>
        <v>0.32234027781003</v>
      </c>
      <c r="V28" s="36"/>
      <c r="W28" s="36"/>
    </row>
    <row r="29" spans="3:23" ht="30" customHeight="1" x14ac:dyDescent="0.25">
      <c r="E29" s="38" t="s">
        <v>278</v>
      </c>
      <c r="F29" s="38"/>
      <c r="G29" s="38"/>
      <c r="H29" s="36">
        <f>SUM(Pivot_Backend!$Z13:$Z17)</f>
        <v>0.83175124218398577</v>
      </c>
      <c r="I29" s="36"/>
      <c r="J29" s="36"/>
      <c r="R29" s="38" t="s">
        <v>278</v>
      </c>
      <c r="S29" s="38"/>
      <c r="T29" s="38"/>
      <c r="U29" s="36">
        <f>SUM(Pivot_Backend!$Z31:$Z35)</f>
        <v>0.71954320610456812</v>
      </c>
      <c r="V29" s="36"/>
      <c r="W29" s="36"/>
    </row>
    <row r="30" spans="3:23" ht="15" customHeight="1" x14ac:dyDescent="0.25"/>
  </sheetData>
  <sheetProtection sheet="1" objects="1" scenarios="1" selectLockedCells="1" pivotTables="0"/>
  <mergeCells count="10">
    <mergeCell ref="E27:J27"/>
    <mergeCell ref="R27:W27"/>
    <mergeCell ref="U28:W28"/>
    <mergeCell ref="U29:W29"/>
    <mergeCell ref="E28:G28"/>
    <mergeCell ref="H28:J28"/>
    <mergeCell ref="E29:G29"/>
    <mergeCell ref="H29:J29"/>
    <mergeCell ref="R28:T28"/>
    <mergeCell ref="R29:T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4CB8B-9C8D-4C8C-B87E-9575BE9C5CAE}">
  <dimension ref="B1:W32"/>
  <sheetViews>
    <sheetView showGridLines="0" tabSelected="1" workbookViewId="0">
      <selection activeCell="Q8" sqref="Q8"/>
    </sheetView>
  </sheetViews>
  <sheetFormatPr defaultRowHeight="15" x14ac:dyDescent="0.25"/>
  <cols>
    <col min="4" max="6" width="9.140625" customWidth="1"/>
    <col min="12" max="15" width="9.140625" customWidth="1"/>
  </cols>
  <sheetData>
    <row r="1" spans="2:20" ht="9.9499999999999993" customHeight="1" x14ac:dyDescent="0.25"/>
    <row r="2" spans="2:20" ht="26.25" x14ac:dyDescent="0.4">
      <c r="B2" s="19" t="s">
        <v>269</v>
      </c>
    </row>
    <row r="3" spans="2:20" ht="19.5" customHeight="1" x14ac:dyDescent="0.3">
      <c r="B3" s="20" t="s">
        <v>254</v>
      </c>
    </row>
    <row r="4" spans="2:20" ht="15" customHeight="1" x14ac:dyDescent="0.3">
      <c r="D4" s="20"/>
    </row>
    <row r="6" spans="2:20" ht="9.9499999999999993" customHeight="1" x14ac:dyDescent="0.25"/>
    <row r="7" spans="2:20" ht="9.9499999999999993" customHeight="1" x14ac:dyDescent="0.25"/>
    <row r="8" spans="2:20" ht="15" customHeight="1" x14ac:dyDescent="0.25">
      <c r="Q8" s="28"/>
      <c r="R8" s="28"/>
      <c r="S8" s="28"/>
      <c r="T8" s="28"/>
    </row>
    <row r="9" spans="2:20" ht="15" customHeight="1" x14ac:dyDescent="0.25">
      <c r="Q9" s="28"/>
      <c r="R9" s="28"/>
      <c r="S9" s="28"/>
      <c r="T9" s="28"/>
    </row>
    <row r="10" spans="2:20" ht="15" customHeight="1" x14ac:dyDescent="0.25">
      <c r="Q10" s="28"/>
      <c r="R10" s="28"/>
      <c r="S10" s="28"/>
      <c r="T10" s="28"/>
    </row>
    <row r="11" spans="2:20" ht="15" customHeight="1" x14ac:dyDescent="0.25">
      <c r="Q11" s="28"/>
      <c r="R11" s="28"/>
      <c r="S11" s="28"/>
      <c r="T11" s="28"/>
    </row>
    <row r="12" spans="2:20" ht="15" customHeight="1" x14ac:dyDescent="0.25">
      <c r="Q12" s="28"/>
      <c r="R12" s="28"/>
      <c r="S12" s="28"/>
      <c r="T12" s="28"/>
    </row>
    <row r="13" spans="2:20" ht="15" customHeight="1" x14ac:dyDescent="0.25">
      <c r="Q13" s="28"/>
      <c r="R13" s="28"/>
      <c r="S13" s="28"/>
      <c r="T13" s="28"/>
    </row>
    <row r="14" spans="2:20" ht="15" customHeight="1" x14ac:dyDescent="0.25">
      <c r="Q14" s="28"/>
      <c r="R14" s="28"/>
      <c r="S14" s="28"/>
      <c r="T14" s="28"/>
    </row>
    <row r="15" spans="2:20" ht="15" customHeight="1" x14ac:dyDescent="0.25">
      <c r="Q15" s="28"/>
      <c r="R15" s="28"/>
      <c r="S15" s="28"/>
      <c r="T15" s="28"/>
    </row>
    <row r="16" spans="2:20" ht="15" customHeight="1" x14ac:dyDescent="0.25">
      <c r="Q16" s="28"/>
      <c r="R16" s="28"/>
      <c r="S16" s="28"/>
      <c r="T16" s="28"/>
    </row>
    <row r="17" spans="3:23" ht="15" customHeight="1" x14ac:dyDescent="0.25">
      <c r="Q17" s="28"/>
      <c r="R17" s="28"/>
      <c r="S17" s="28"/>
      <c r="T17" s="28"/>
    </row>
    <row r="18" spans="3:23" ht="15" customHeight="1" x14ac:dyDescent="0.25">
      <c r="Q18" s="28"/>
      <c r="R18" s="28"/>
      <c r="S18" s="28"/>
      <c r="T18" s="28"/>
    </row>
    <row r="19" spans="3:23" ht="15" customHeight="1" x14ac:dyDescent="0.25">
      <c r="Q19" s="28"/>
      <c r="R19" s="28"/>
      <c r="S19" s="28"/>
      <c r="T19" s="28"/>
    </row>
    <row r="20" spans="3:23" ht="15" customHeight="1" x14ac:dyDescent="0.25">
      <c r="Q20" s="28"/>
      <c r="R20" s="28"/>
      <c r="S20" s="28"/>
      <c r="T20" s="28"/>
    </row>
    <row r="21" spans="3:23" ht="15" customHeight="1" x14ac:dyDescent="0.25"/>
    <row r="22" spans="3:23" ht="15" customHeight="1" x14ac:dyDescent="0.25"/>
    <row r="23" spans="3:23" ht="15" customHeight="1" x14ac:dyDescent="0.25">
      <c r="C23" s="22"/>
      <c r="D23" s="22"/>
      <c r="E23" s="22"/>
      <c r="F23" s="22"/>
      <c r="G23" s="22"/>
      <c r="K23" s="22"/>
      <c r="L23" s="22"/>
      <c r="M23" s="22"/>
      <c r="N23" s="22"/>
      <c r="O23" s="22"/>
    </row>
    <row r="24" spans="3:23" ht="15" customHeight="1" x14ac:dyDescent="0.25">
      <c r="C24" s="22"/>
      <c r="D24" s="22"/>
      <c r="E24" s="27"/>
      <c r="F24" s="27"/>
      <c r="G24" s="27"/>
      <c r="K24" s="22"/>
      <c r="L24" s="22"/>
      <c r="M24" s="27"/>
      <c r="N24" s="27"/>
      <c r="O24" s="27"/>
    </row>
    <row r="25" spans="3:23" ht="15" customHeight="1" x14ac:dyDescent="0.25">
      <c r="C25" s="22"/>
      <c r="D25" s="22"/>
      <c r="E25" s="24"/>
      <c r="F25" s="24"/>
      <c r="G25" s="24"/>
      <c r="K25" s="22"/>
      <c r="L25" s="22"/>
      <c r="M25" s="24"/>
      <c r="N25" s="24"/>
      <c r="O25" s="24"/>
    </row>
    <row r="26" spans="3:23" ht="15" customHeight="1" x14ac:dyDescent="0.25"/>
    <row r="27" spans="3:23" ht="15" customHeight="1" x14ac:dyDescent="0.25">
      <c r="E27" s="22"/>
      <c r="F27" s="22"/>
      <c r="G27" s="22"/>
      <c r="H27" s="22"/>
      <c r="I27" s="22"/>
      <c r="J27" s="22"/>
      <c r="R27" s="22"/>
      <c r="S27" s="22"/>
      <c r="T27" s="22"/>
      <c r="U27" s="22"/>
      <c r="V27" s="22"/>
      <c r="W27" s="22"/>
    </row>
    <row r="28" spans="3:23" ht="15" customHeight="1" x14ac:dyDescent="0.25">
      <c r="E28" s="22"/>
      <c r="F28" s="22"/>
      <c r="G28" s="22"/>
      <c r="H28" s="27"/>
      <c r="I28" s="27"/>
      <c r="J28" s="27"/>
      <c r="R28" s="22"/>
      <c r="S28" s="22"/>
      <c r="T28" s="22"/>
      <c r="U28" s="23"/>
      <c r="V28" s="23"/>
      <c r="W28" s="23"/>
    </row>
    <row r="29" spans="3:23" ht="15" customHeight="1" x14ac:dyDescent="0.25">
      <c r="E29" s="22"/>
      <c r="F29" s="22"/>
      <c r="G29" s="29" t="s">
        <v>280</v>
      </c>
      <c r="H29" s="29"/>
      <c r="I29" s="29"/>
      <c r="J29" s="29"/>
      <c r="K29" s="29"/>
      <c r="R29" s="22"/>
      <c r="S29" s="22"/>
      <c r="T29" s="22"/>
      <c r="U29" s="23"/>
      <c r="V29" s="23"/>
      <c r="W29" s="23"/>
    </row>
    <row r="30" spans="3:23" ht="30" customHeight="1" x14ac:dyDescent="0.25">
      <c r="G30" s="38" t="str">
        <f>Pivot_Backend!$AF17</f>
        <v>Machinery/Electrical</v>
      </c>
      <c r="H30" s="38"/>
      <c r="I30" s="38"/>
      <c r="J30" s="39">
        <f>Pivot_Backend!$AI17</f>
        <v>35128497620</v>
      </c>
      <c r="K30" s="39"/>
    </row>
    <row r="31" spans="3:23" x14ac:dyDescent="0.25">
      <c r="G31" s="29" t="s">
        <v>281</v>
      </c>
      <c r="H31" s="29"/>
      <c r="I31" s="29"/>
      <c r="J31" s="29"/>
      <c r="K31" s="29"/>
    </row>
    <row r="32" spans="3:23" ht="30" customHeight="1" x14ac:dyDescent="0.25">
      <c r="G32" s="38" t="str">
        <f>Pivot_Backend!$AF3</f>
        <v>Mineral Products</v>
      </c>
      <c r="H32" s="38"/>
      <c r="I32" s="38"/>
      <c r="J32" s="39">
        <f>Pivot_Backend!$AI3</f>
        <v>-103200417946</v>
      </c>
      <c r="K32" s="39"/>
    </row>
  </sheetData>
  <sheetProtection sheet="1" objects="1" scenarios="1" selectLockedCells="1" pivotTables="0"/>
  <mergeCells count="6">
    <mergeCell ref="G29:K29"/>
    <mergeCell ref="G30:I30"/>
    <mergeCell ref="G31:K31"/>
    <mergeCell ref="G32:I32"/>
    <mergeCell ref="J30:K30"/>
    <mergeCell ref="J32:K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D71F-B0E4-4426-ACE5-FEE6A08E5A9A}">
  <dimension ref="B2:AK230"/>
  <sheetViews>
    <sheetView topLeftCell="X1" workbookViewId="0">
      <selection activeCell="AF20" sqref="AF20"/>
    </sheetView>
  </sheetViews>
  <sheetFormatPr defaultRowHeight="15" x14ac:dyDescent="0.25"/>
  <cols>
    <col min="2" max="2" width="17.7109375" bestFit="1" customWidth="1"/>
    <col min="3" max="3" width="12.7109375" bestFit="1" customWidth="1"/>
    <col min="4" max="4" width="19.85546875" bestFit="1" customWidth="1"/>
    <col min="5" max="5" width="17.85546875" bestFit="1" customWidth="1"/>
    <col min="6" max="6" width="12.85546875" bestFit="1" customWidth="1"/>
    <col min="8" max="8" width="19.42578125" bestFit="1" customWidth="1"/>
    <col min="9" max="9" width="19.5703125" bestFit="1" customWidth="1"/>
    <col min="11" max="11" width="33.42578125" bestFit="1" customWidth="1"/>
    <col min="12" max="12" width="26.5703125" bestFit="1" customWidth="1"/>
    <col min="13" max="17" width="9.140625" customWidth="1"/>
    <col min="18" max="18" width="33.42578125" bestFit="1" customWidth="1"/>
    <col min="19" max="19" width="26.7109375" bestFit="1" customWidth="1"/>
    <col min="21" max="22" width="9.140625" customWidth="1"/>
    <col min="25" max="25" width="30.5703125" bestFit="1" customWidth="1"/>
    <col min="26" max="26" width="23.85546875" bestFit="1" customWidth="1"/>
    <col min="27" max="27" width="23.7109375" bestFit="1" customWidth="1"/>
    <col min="32" max="32" width="30.5703125" bestFit="1" customWidth="1"/>
    <col min="33" max="33" width="17.42578125" bestFit="1" customWidth="1"/>
    <col min="35" max="35" width="17.42578125" bestFit="1" customWidth="1"/>
    <col min="37" max="37" width="10.7109375" bestFit="1" customWidth="1"/>
  </cols>
  <sheetData>
    <row r="2" spans="2:37" x14ac:dyDescent="0.25">
      <c r="B2" t="s">
        <v>255</v>
      </c>
      <c r="E2" t="s">
        <v>260</v>
      </c>
      <c r="H2" t="s">
        <v>256</v>
      </c>
      <c r="L2" t="s">
        <v>246</v>
      </c>
      <c r="S2" t="s">
        <v>252</v>
      </c>
      <c r="Z2" t="s">
        <v>16</v>
      </c>
      <c r="AG2" t="s">
        <v>279</v>
      </c>
    </row>
    <row r="3" spans="2:37" x14ac:dyDescent="0.25">
      <c r="B3" s="3">
        <v>435596355042</v>
      </c>
      <c r="E3" s="3">
        <v>751217254065</v>
      </c>
      <c r="H3" s="3">
        <v>-315620899023</v>
      </c>
      <c r="K3" s="1" t="s">
        <v>235</v>
      </c>
      <c r="L3" s="16">
        <v>0.15952172495864914</v>
      </c>
      <c r="M3" t="str">
        <f>$K12</f>
        <v>Asia Othr.ns</v>
      </c>
      <c r="N3" s="16">
        <f>$L12</f>
        <v>3.4825568217937281E-2</v>
      </c>
      <c r="O3" s="21" t="e">
        <f>IF($N3=MAX($N$3:$N$12), MAX($N$3:$N$12), NA())</f>
        <v>#N/A</v>
      </c>
      <c r="P3" s="21">
        <f>IF($N3&lt;&gt;MAX($N$3:$N$12), $N3, NA())</f>
        <v>3.4825568217937281E-2</v>
      </c>
      <c r="Q3" s="21"/>
      <c r="R3" s="1" t="s">
        <v>65</v>
      </c>
      <c r="S3" s="16">
        <v>0.22923443743758815</v>
      </c>
      <c r="T3" t="str">
        <f>$R12</f>
        <v>Viet Nam</v>
      </c>
      <c r="U3" s="16">
        <f>$S12</f>
        <v>3.6127871132006356E-2</v>
      </c>
      <c r="V3" s="21" t="e">
        <f>IF($U3=MAX($U$3:$U$12), MAX($U$3:$U$12), NA())</f>
        <v>#N/A</v>
      </c>
      <c r="W3" s="21">
        <f>IF($U3&lt;&gt;MAX($U$3:$U$12), $U3, NA())</f>
        <v>3.6127871132006356E-2</v>
      </c>
      <c r="Y3" s="1" t="s">
        <v>4</v>
      </c>
      <c r="Z3" s="2">
        <v>2.1762670257160365E-3</v>
      </c>
      <c r="AA3" t="str">
        <f>$Y3</f>
        <v>Footwear/Headgear</v>
      </c>
      <c r="AB3" s="2">
        <f>$Z3</f>
        <v>2.1762670257160365E-3</v>
      </c>
      <c r="AC3" s="21" t="e">
        <f>IF($AB3=MAX($AB$3:$AB$17), MAX($AB$3:$AB$17), NA())</f>
        <v>#N/A</v>
      </c>
      <c r="AD3" s="21">
        <f>IF($AB3&lt;&gt;MAX($AB$3:$AB$17), $AB3, NA())</f>
        <v>2.1762670257160365E-3</v>
      </c>
      <c r="AF3" s="1" t="s">
        <v>7</v>
      </c>
      <c r="AG3" s="3">
        <v>-103200417946</v>
      </c>
      <c r="AH3" t="str">
        <f>$AF3</f>
        <v>Mineral Products</v>
      </c>
      <c r="AI3" s="3">
        <f>$AG3</f>
        <v>-103200417946</v>
      </c>
      <c r="AJ3" s="25" t="e">
        <f>IF($AI3&gt;0, $AI3, NA())</f>
        <v>#N/A</v>
      </c>
      <c r="AK3" s="25">
        <f>IF($AI3&lt;0, $AI3, NA())</f>
        <v>-103200417946</v>
      </c>
    </row>
    <row r="4" spans="2:37" x14ac:dyDescent="0.25">
      <c r="K4" s="1" t="s">
        <v>126</v>
      </c>
      <c r="L4" s="16">
        <v>0.1451004476699668</v>
      </c>
      <c r="M4" t="str">
        <f>$K11</f>
        <v>Netherlands</v>
      </c>
      <c r="N4" s="16">
        <f>$L11</f>
        <v>3.519893968470339E-2</v>
      </c>
      <c r="O4" s="21" t="e">
        <f t="shared" ref="O4:O12" si="0">IF($N4=MAX($N$3:$N$12), MAX($N$3:$N$12), NA())</f>
        <v>#N/A</v>
      </c>
      <c r="P4" s="21">
        <f t="shared" ref="P4:P12" si="1">IF($N4&lt;&gt;MAX($N$3:$N$12), $N4, NA())</f>
        <v>3.519893968470339E-2</v>
      </c>
      <c r="Q4" s="21"/>
      <c r="R4" s="1" t="s">
        <v>126</v>
      </c>
      <c r="S4" s="16">
        <v>8.9120931286819374E-2</v>
      </c>
      <c r="T4" t="str">
        <f>$R11</f>
        <v>Asia Othr.ns</v>
      </c>
      <c r="U4" s="16">
        <f>$S11</f>
        <v>4.2740630375912345E-2</v>
      </c>
      <c r="V4" s="21" t="e">
        <f t="shared" ref="V4:V12" si="2">IF($U4=MAX($U$3:$U$12), MAX($U$3:$U$12), NA())</f>
        <v>#N/A</v>
      </c>
      <c r="W4" s="21">
        <f t="shared" ref="W4:W12" si="3">IF($U4&lt;&gt;MAX($U$3:$U$12), $U4, NA())</f>
        <v>4.2740630375912345E-2</v>
      </c>
      <c r="Y4" s="1" t="s">
        <v>1</v>
      </c>
      <c r="Z4" s="2">
        <v>5.86877391973014E-3</v>
      </c>
      <c r="AA4" t="str">
        <f t="shared" ref="AA4:AA17" si="4">$Y4</f>
        <v>Animal &amp; Animal Products</v>
      </c>
      <c r="AB4" s="2">
        <f t="shared" ref="AB4:AB17" si="5">$Z4</f>
        <v>5.86877391973014E-3</v>
      </c>
      <c r="AC4" s="21" t="e">
        <f t="shared" ref="AC4:AC17" si="6">IF($AB4=MAX($AB$3:$AB$17), MAX($AB$3:$AB$17), NA())</f>
        <v>#N/A</v>
      </c>
      <c r="AD4" s="21">
        <f t="shared" ref="AD4:AD17" si="7">IF($AB4&lt;&gt;MAX($AB$3:$AB$17), $AB4, NA())</f>
        <v>5.86877391973014E-3</v>
      </c>
      <c r="AF4" s="1" t="s">
        <v>13</v>
      </c>
      <c r="AG4" s="3">
        <v>-51693306526</v>
      </c>
      <c r="AH4" t="str">
        <f t="shared" ref="AH4:AH17" si="8">$AF4</f>
        <v>Transportation</v>
      </c>
      <c r="AI4" s="3">
        <f t="shared" ref="AI4:AI17" si="9">$AG4</f>
        <v>-51693306526</v>
      </c>
      <c r="AJ4" s="25" t="e">
        <f t="shared" ref="AJ4:AJ17" si="10">IF($AI4&gt;0, $AI4, NA())</f>
        <v>#N/A</v>
      </c>
      <c r="AK4" s="25">
        <f t="shared" ref="AK4:AK17" si="11">IF($AI4&lt;0, $AI4, NA())</f>
        <v>-51693306526</v>
      </c>
    </row>
    <row r="5" spans="2:37" x14ac:dyDescent="0.25">
      <c r="C5" t="s">
        <v>257</v>
      </c>
      <c r="F5" t="s">
        <v>258</v>
      </c>
      <c r="I5" t="s">
        <v>259</v>
      </c>
      <c r="K5" s="1" t="s">
        <v>65</v>
      </c>
      <c r="L5" s="16">
        <v>0.14281988284085059</v>
      </c>
      <c r="M5" t="str">
        <f>$K10</f>
        <v>Germany</v>
      </c>
      <c r="N5" s="16">
        <f>$L10</f>
        <v>3.6164311456373638E-2</v>
      </c>
      <c r="O5" s="21" t="e">
        <f t="shared" si="0"/>
        <v>#N/A</v>
      </c>
      <c r="P5" s="21">
        <f t="shared" si="1"/>
        <v>3.6164311456373638E-2</v>
      </c>
      <c r="Q5" s="21"/>
      <c r="R5" s="1" t="s">
        <v>119</v>
      </c>
      <c r="S5" s="16">
        <v>7.9817355768311296E-2</v>
      </c>
      <c r="T5" t="str">
        <f>$R10</f>
        <v>Malaysia</v>
      </c>
      <c r="U5" s="16">
        <f>$S10</f>
        <v>4.5100300435948829E-2</v>
      </c>
      <c r="V5" s="21" t="e">
        <f t="shared" si="2"/>
        <v>#N/A</v>
      </c>
      <c r="W5" s="21">
        <f t="shared" si="3"/>
        <v>4.5100300435948829E-2</v>
      </c>
      <c r="Y5" s="1" t="s">
        <v>10</v>
      </c>
      <c r="Z5" s="2">
        <v>9.4478372726585162E-3</v>
      </c>
      <c r="AA5" t="str">
        <f t="shared" si="4"/>
        <v>Raw Hides, Skins, Leather, &amp; Furs</v>
      </c>
      <c r="AB5" s="2">
        <f t="shared" si="5"/>
        <v>9.4478372726585162E-3</v>
      </c>
      <c r="AC5" s="21" t="e">
        <f t="shared" si="6"/>
        <v>#N/A</v>
      </c>
      <c r="AD5" s="21">
        <f t="shared" si="7"/>
        <v>9.4478372726585162E-3</v>
      </c>
      <c r="AF5" s="1" t="s">
        <v>2</v>
      </c>
      <c r="AG5" s="3">
        <v>-51109567241</v>
      </c>
      <c r="AH5" t="str">
        <f t="shared" si="8"/>
        <v>Chemicals and Allied Industries</v>
      </c>
      <c r="AI5" s="3">
        <f t="shared" si="9"/>
        <v>-51109567241</v>
      </c>
      <c r="AJ5" s="25" t="e">
        <f t="shared" si="10"/>
        <v>#N/A</v>
      </c>
      <c r="AK5" s="25">
        <f t="shared" si="11"/>
        <v>-51109567241</v>
      </c>
    </row>
    <row r="6" spans="2:37" x14ac:dyDescent="0.25">
      <c r="B6" s="1">
        <v>2020</v>
      </c>
      <c r="C6" s="2">
        <v>-8.0537251451220551E-2</v>
      </c>
      <c r="D6" s="2"/>
      <c r="E6" s="1">
        <v>2020</v>
      </c>
      <c r="F6" s="2">
        <v>-0.18917681152707455</v>
      </c>
      <c r="H6" s="1">
        <v>2020</v>
      </c>
      <c r="I6" s="2">
        <v>-0.3555270818889455</v>
      </c>
      <c r="K6" s="1" t="s">
        <v>115</v>
      </c>
      <c r="L6" s="16">
        <v>0.13231111340783128</v>
      </c>
      <c r="M6" t="str">
        <f>$K9</f>
        <v>Thailand</v>
      </c>
      <c r="N6" s="16">
        <f>$L9</f>
        <v>4.2606122035182187E-2</v>
      </c>
      <c r="O6" s="21" t="e">
        <f t="shared" si="0"/>
        <v>#N/A</v>
      </c>
      <c r="P6" s="21">
        <f t="shared" si="1"/>
        <v>4.2606122035182187E-2</v>
      </c>
      <c r="Q6" s="21"/>
      <c r="R6" s="1" t="s">
        <v>132</v>
      </c>
      <c r="S6" s="16">
        <v>7.6226285860901286E-2</v>
      </c>
      <c r="T6" t="str">
        <f>$R9</f>
        <v>Singapore</v>
      </c>
      <c r="U6" s="16">
        <f>$S9</f>
        <v>5.5789121060807939E-2</v>
      </c>
      <c r="V6" s="21" t="e">
        <f t="shared" si="2"/>
        <v>#N/A</v>
      </c>
      <c r="W6" s="21">
        <f t="shared" si="3"/>
        <v>5.5789121060807939E-2</v>
      </c>
      <c r="Y6" s="1" t="s">
        <v>15</v>
      </c>
      <c r="Z6" s="2">
        <v>1.1502726627537747E-2</v>
      </c>
      <c r="AA6" t="str">
        <f t="shared" si="4"/>
        <v>Wood and Wood Products</v>
      </c>
      <c r="AB6" s="2">
        <f t="shared" si="5"/>
        <v>1.1502726627537747E-2</v>
      </c>
      <c r="AC6" s="21" t="e">
        <f t="shared" si="6"/>
        <v>#N/A</v>
      </c>
      <c r="AD6" s="21">
        <f t="shared" si="7"/>
        <v>1.1502726627537747E-2</v>
      </c>
      <c r="AF6" s="1" t="s">
        <v>6</v>
      </c>
      <c r="AG6" s="3">
        <v>-32506634466</v>
      </c>
      <c r="AH6" t="str">
        <f t="shared" si="8"/>
        <v>Metals</v>
      </c>
      <c r="AI6" s="3">
        <f t="shared" si="9"/>
        <v>-32506634466</v>
      </c>
      <c r="AJ6" s="25" t="e">
        <f t="shared" si="10"/>
        <v>#N/A</v>
      </c>
      <c r="AK6" s="25">
        <f t="shared" si="11"/>
        <v>-32506634466</v>
      </c>
    </row>
    <row r="7" spans="2:37" x14ac:dyDescent="0.25">
      <c r="B7" s="1">
        <v>2021</v>
      </c>
      <c r="C7" s="2">
        <v>0.14421797371419848</v>
      </c>
      <c r="D7" s="2"/>
      <c r="E7" s="1">
        <v>2021</v>
      </c>
      <c r="F7" s="2">
        <v>0.30845306503557796</v>
      </c>
      <c r="H7" s="1">
        <v>2021</v>
      </c>
      <c r="I7" s="2">
        <v>0.66723530385093022</v>
      </c>
      <c r="K7" s="1" t="s">
        <v>197</v>
      </c>
      <c r="L7" s="16">
        <v>5.3182538303761365E-2</v>
      </c>
      <c r="M7" t="str">
        <f>$K8</f>
        <v>Korea Rep.</v>
      </c>
      <c r="N7" s="16">
        <f>$L8</f>
        <v>4.3250087350210943E-2</v>
      </c>
      <c r="O7" s="21" t="e">
        <f t="shared" si="0"/>
        <v>#N/A</v>
      </c>
      <c r="P7" s="21">
        <f t="shared" si="1"/>
        <v>4.3250087350210943E-2</v>
      </c>
      <c r="Q7" s="21"/>
      <c r="R7" s="1" t="s">
        <v>235</v>
      </c>
      <c r="S7" s="16">
        <v>6.9071270212745103E-2</v>
      </c>
      <c r="T7" t="str">
        <f>$R8</f>
        <v>Thailand</v>
      </c>
      <c r="U7" s="16">
        <f>$S8</f>
        <v>5.76388789563844E-2</v>
      </c>
      <c r="V7" s="21" t="e">
        <f t="shared" si="2"/>
        <v>#N/A</v>
      </c>
      <c r="W7" s="21">
        <f t="shared" si="3"/>
        <v>5.76388789563844E-2</v>
      </c>
      <c r="Y7" s="1" t="s">
        <v>12</v>
      </c>
      <c r="Z7" s="2">
        <v>1.4071149510443014E-2</v>
      </c>
      <c r="AA7" t="str">
        <f t="shared" si="4"/>
        <v>Textiles</v>
      </c>
      <c r="AB7" s="2">
        <f t="shared" si="5"/>
        <v>1.4071149510443014E-2</v>
      </c>
      <c r="AC7" s="21" t="e">
        <f t="shared" si="6"/>
        <v>#N/A</v>
      </c>
      <c r="AD7" s="21">
        <f t="shared" si="7"/>
        <v>1.4071149510443014E-2</v>
      </c>
      <c r="AF7" s="1" t="s">
        <v>3</v>
      </c>
      <c r="AG7" s="3">
        <v>-28440225590</v>
      </c>
      <c r="AH7" t="str">
        <f t="shared" si="8"/>
        <v>Foodstuffs</v>
      </c>
      <c r="AI7" s="3">
        <f t="shared" si="9"/>
        <v>-28440225590</v>
      </c>
      <c r="AJ7" s="25" t="e">
        <f t="shared" si="10"/>
        <v>#N/A</v>
      </c>
      <c r="AK7" s="25">
        <f t="shared" si="11"/>
        <v>-28440225590</v>
      </c>
    </row>
    <row r="8" spans="2:37" x14ac:dyDescent="0.25">
      <c r="B8" s="1">
        <v>2022</v>
      </c>
      <c r="C8" s="2">
        <v>5.7746134314889647E-2</v>
      </c>
      <c r="D8" s="2"/>
      <c r="E8" s="1">
        <v>2022</v>
      </c>
      <c r="F8" s="2">
        <v>0.17275901091111356</v>
      </c>
      <c r="H8" s="1">
        <v>2022</v>
      </c>
      <c r="I8" s="2">
        <v>0.34519317362241048</v>
      </c>
      <c r="K8" s="1" t="s">
        <v>132</v>
      </c>
      <c r="L8" s="16">
        <v>4.3250087350210943E-2</v>
      </c>
      <c r="M8" t="str">
        <f>$K7</f>
        <v>Singapore</v>
      </c>
      <c r="N8" s="16">
        <f>$L7</f>
        <v>5.3182538303761365E-2</v>
      </c>
      <c r="O8" s="21" t="e">
        <f t="shared" si="0"/>
        <v>#N/A</v>
      </c>
      <c r="P8" s="21">
        <f t="shared" si="1"/>
        <v>5.3182538303761365E-2</v>
      </c>
      <c r="Q8" s="21"/>
      <c r="R8" s="1" t="s">
        <v>219</v>
      </c>
      <c r="S8" s="16">
        <v>5.76388789563844E-2</v>
      </c>
      <c r="T8" t="str">
        <f>$R7</f>
        <v>USA,PR,USVI</v>
      </c>
      <c r="U8" s="16">
        <f>$S7</f>
        <v>6.9071270212745103E-2</v>
      </c>
      <c r="V8" s="21" t="e">
        <f t="shared" si="2"/>
        <v>#N/A</v>
      </c>
      <c r="W8" s="21">
        <f t="shared" si="3"/>
        <v>6.9071270212745103E-2</v>
      </c>
      <c r="Y8" s="1" t="s">
        <v>2</v>
      </c>
      <c r="Z8" s="2">
        <v>1.7059164841458592E-2</v>
      </c>
      <c r="AA8" t="str">
        <f t="shared" si="4"/>
        <v>Chemicals and Allied Industries</v>
      </c>
      <c r="AB8" s="2">
        <f t="shared" si="5"/>
        <v>1.7059164841458592E-2</v>
      </c>
      <c r="AC8" s="21" t="e">
        <f t="shared" si="6"/>
        <v>#N/A</v>
      </c>
      <c r="AD8" s="21">
        <f t="shared" si="7"/>
        <v>1.7059164841458592E-2</v>
      </c>
      <c r="AF8" s="1" t="s">
        <v>9</v>
      </c>
      <c r="AG8" s="3">
        <v>-20181539105</v>
      </c>
      <c r="AH8" t="str">
        <f t="shared" si="8"/>
        <v>Plastics/Rubbers</v>
      </c>
      <c r="AI8" s="3">
        <f t="shared" si="9"/>
        <v>-20181539105</v>
      </c>
      <c r="AJ8" s="25" t="e">
        <f t="shared" si="10"/>
        <v>#N/A</v>
      </c>
      <c r="AK8" s="25">
        <f t="shared" si="11"/>
        <v>-20181539105</v>
      </c>
    </row>
    <row r="9" spans="2:37" x14ac:dyDescent="0.25">
      <c r="B9" s="1">
        <v>2023</v>
      </c>
      <c r="C9" s="2">
        <v>-7.6084454272064519E-2</v>
      </c>
      <c r="D9" s="2"/>
      <c r="E9" s="1">
        <v>2023</v>
      </c>
      <c r="F9" s="2">
        <v>-8.3139413150378205E-2</v>
      </c>
      <c r="H9" s="1">
        <v>2023</v>
      </c>
      <c r="I9" s="2">
        <v>-9.1456440422537894E-2</v>
      </c>
      <c r="K9" s="1" t="s">
        <v>219</v>
      </c>
      <c r="L9" s="16">
        <v>4.2606122035182187E-2</v>
      </c>
      <c r="M9" t="str">
        <f>$K6</f>
        <v>Hong Kong</v>
      </c>
      <c r="N9" s="16">
        <f>$L6</f>
        <v>0.13231111340783128</v>
      </c>
      <c r="O9" s="21" t="e">
        <f t="shared" si="0"/>
        <v>#N/A</v>
      </c>
      <c r="P9" s="21">
        <f t="shared" si="1"/>
        <v>0.13231111340783128</v>
      </c>
      <c r="Q9" s="21"/>
      <c r="R9" s="1" t="s">
        <v>197</v>
      </c>
      <c r="S9" s="16">
        <v>5.5789121060807939E-2</v>
      </c>
      <c r="T9" t="str">
        <f>$R6</f>
        <v>Korea Rep.</v>
      </c>
      <c r="U9" s="16">
        <f>$S6</f>
        <v>7.6226285860901286E-2</v>
      </c>
      <c r="V9" s="21" t="e">
        <f t="shared" si="2"/>
        <v>#N/A</v>
      </c>
      <c r="W9" s="21">
        <f t="shared" si="3"/>
        <v>7.6226285860901286E-2</v>
      </c>
      <c r="Y9" s="1" t="s">
        <v>9</v>
      </c>
      <c r="Z9" s="2">
        <v>2.2486610587123857E-2</v>
      </c>
      <c r="AA9" t="str">
        <f t="shared" si="4"/>
        <v>Plastics/Rubbers</v>
      </c>
      <c r="AB9" s="2">
        <f t="shared" si="5"/>
        <v>2.2486610587123857E-2</v>
      </c>
      <c r="AC9" s="21" t="e">
        <f t="shared" si="6"/>
        <v>#N/A</v>
      </c>
      <c r="AD9" s="21">
        <f t="shared" si="7"/>
        <v>2.2486610587123857E-2</v>
      </c>
      <c r="AF9" s="1" t="s">
        <v>1</v>
      </c>
      <c r="AG9" s="3">
        <v>-19886952477</v>
      </c>
      <c r="AH9" t="str">
        <f t="shared" si="8"/>
        <v>Animal &amp; Animal Products</v>
      </c>
      <c r="AI9" s="3">
        <f t="shared" si="9"/>
        <v>-19886952477</v>
      </c>
      <c r="AJ9" s="25" t="e">
        <f t="shared" si="10"/>
        <v>#N/A</v>
      </c>
      <c r="AK9" s="25">
        <f t="shared" si="11"/>
        <v>-19886952477</v>
      </c>
    </row>
    <row r="10" spans="2:37" x14ac:dyDescent="0.25">
      <c r="B10" s="1">
        <v>2024</v>
      </c>
      <c r="C10" s="2">
        <v>8.3140686978647443E-4</v>
      </c>
      <c r="D10" s="2"/>
      <c r="E10" s="1">
        <v>2024</v>
      </c>
      <c r="F10" s="2">
        <v>8.4443500235070485E-3</v>
      </c>
      <c r="H10" s="1">
        <v>2024</v>
      </c>
      <c r="I10" s="2">
        <v>1.7571028398431124E-2</v>
      </c>
      <c r="K10" s="1" t="s">
        <v>100</v>
      </c>
      <c r="L10" s="16">
        <v>3.6164311456373638E-2</v>
      </c>
      <c r="M10" t="str">
        <f>$K5</f>
        <v>China</v>
      </c>
      <c r="N10" s="16">
        <f>$L5</f>
        <v>0.14281988284085059</v>
      </c>
      <c r="O10" s="21" t="e">
        <f t="shared" si="0"/>
        <v>#N/A</v>
      </c>
      <c r="P10" s="21">
        <f t="shared" si="1"/>
        <v>0.14281988284085059</v>
      </c>
      <c r="Q10" s="21"/>
      <c r="R10" s="1" t="s">
        <v>146</v>
      </c>
      <c r="S10" s="16">
        <v>4.5100300435948829E-2</v>
      </c>
      <c r="T10" t="str">
        <f>$R5</f>
        <v>Indonesia</v>
      </c>
      <c r="U10" s="16">
        <f>$S5</f>
        <v>7.9817355768311296E-2</v>
      </c>
      <c r="V10" s="21" t="e">
        <f t="shared" si="2"/>
        <v>#N/A</v>
      </c>
      <c r="W10" s="21">
        <f t="shared" si="3"/>
        <v>7.9817355768311296E-2</v>
      </c>
      <c r="Y10" s="1" t="s">
        <v>11</v>
      </c>
      <c r="Z10" s="2">
        <v>2.3516646322745978E-2</v>
      </c>
      <c r="AA10" t="str">
        <f t="shared" si="4"/>
        <v>Stone/Glass</v>
      </c>
      <c r="AB10" s="2">
        <f t="shared" si="5"/>
        <v>2.3516646322745978E-2</v>
      </c>
      <c r="AC10" s="21" t="e">
        <f t="shared" si="6"/>
        <v>#N/A</v>
      </c>
      <c r="AD10" s="21">
        <f t="shared" si="7"/>
        <v>2.3516646322745978E-2</v>
      </c>
      <c r="AF10" s="1" t="s">
        <v>14</v>
      </c>
      <c r="AG10" s="3">
        <v>-16328422766</v>
      </c>
      <c r="AH10" t="str">
        <f t="shared" si="8"/>
        <v>Vegetable Products</v>
      </c>
      <c r="AI10" s="3">
        <f t="shared" si="9"/>
        <v>-16328422766</v>
      </c>
      <c r="AJ10" s="25" t="e">
        <f t="shared" si="10"/>
        <v>#N/A</v>
      </c>
      <c r="AK10" s="25">
        <f t="shared" si="11"/>
        <v>-16328422766</v>
      </c>
    </row>
    <row r="11" spans="2:37" x14ac:dyDescent="0.25">
      <c r="K11" s="1" t="s">
        <v>165</v>
      </c>
      <c r="L11" s="16">
        <v>3.519893968470339E-2</v>
      </c>
      <c r="M11" t="str">
        <f>$K4</f>
        <v>Japan</v>
      </c>
      <c r="N11" s="16">
        <f>$L4</f>
        <v>0.1451004476699668</v>
      </c>
      <c r="O11" s="21" t="e">
        <f t="shared" si="0"/>
        <v>#N/A</v>
      </c>
      <c r="P11" s="21">
        <f t="shared" si="1"/>
        <v>0.1451004476699668</v>
      </c>
      <c r="Q11" s="21"/>
      <c r="R11" s="1" t="s">
        <v>32</v>
      </c>
      <c r="S11" s="16">
        <v>4.2740630375912345E-2</v>
      </c>
      <c r="T11" t="str">
        <f>$R4</f>
        <v>Japan</v>
      </c>
      <c r="U11" s="16">
        <f>$S4</f>
        <v>8.9120931286819374E-2</v>
      </c>
      <c r="V11" s="21" t="e">
        <f t="shared" si="2"/>
        <v>#N/A</v>
      </c>
      <c r="W11" s="21">
        <f t="shared" si="3"/>
        <v>8.9120931286819374E-2</v>
      </c>
      <c r="Y11" s="1" t="s">
        <v>13</v>
      </c>
      <c r="Z11" s="2">
        <v>2.7998608080235333E-2</v>
      </c>
      <c r="AA11" t="str">
        <f t="shared" si="4"/>
        <v>Transportation</v>
      </c>
      <c r="AB11" s="2">
        <f t="shared" si="5"/>
        <v>2.7998608080235333E-2</v>
      </c>
      <c r="AC11" s="21" t="e">
        <f t="shared" si="6"/>
        <v>#N/A</v>
      </c>
      <c r="AD11" s="21">
        <f t="shared" si="7"/>
        <v>2.7998608080235333E-2</v>
      </c>
      <c r="AF11" s="1" t="s">
        <v>15</v>
      </c>
      <c r="AG11" s="3">
        <v>-10022505362</v>
      </c>
      <c r="AH11" t="str">
        <f t="shared" si="8"/>
        <v>Wood and Wood Products</v>
      </c>
      <c r="AI11" s="3">
        <f t="shared" si="9"/>
        <v>-10022505362</v>
      </c>
      <c r="AJ11" s="25" t="e">
        <f t="shared" si="10"/>
        <v>#N/A</v>
      </c>
      <c r="AK11" s="25">
        <f t="shared" si="11"/>
        <v>-10022505362</v>
      </c>
    </row>
    <row r="12" spans="2:37" x14ac:dyDescent="0.25">
      <c r="B12" t="s">
        <v>261</v>
      </c>
      <c r="K12" s="1" t="s">
        <v>32</v>
      </c>
      <c r="L12" s="16">
        <v>3.4825568217937281E-2</v>
      </c>
      <c r="M12" t="str">
        <f>$K3</f>
        <v>USA,PR,USVI</v>
      </c>
      <c r="N12" s="16">
        <f>$L3</f>
        <v>0.15952172495864914</v>
      </c>
      <c r="O12" s="21">
        <f t="shared" si="0"/>
        <v>0.15952172495864914</v>
      </c>
      <c r="P12" s="21" t="e">
        <f t="shared" si="1"/>
        <v>#N/A</v>
      </c>
      <c r="Q12" s="21"/>
      <c r="R12" s="1" t="s">
        <v>239</v>
      </c>
      <c r="S12" s="16">
        <v>3.6127871132006356E-2</v>
      </c>
      <c r="T12" t="str">
        <f>$R3</f>
        <v>China</v>
      </c>
      <c r="U12" s="16">
        <f>$S3</f>
        <v>0.22923443743758815</v>
      </c>
      <c r="V12" s="21">
        <f t="shared" si="2"/>
        <v>0.22923443743758815</v>
      </c>
      <c r="W12" s="21" t="e">
        <f t="shared" si="3"/>
        <v>#N/A</v>
      </c>
      <c r="Y12" s="1" t="s">
        <v>3</v>
      </c>
      <c r="Z12" s="2">
        <v>3.4120973628364998E-2</v>
      </c>
      <c r="AA12" t="str">
        <f t="shared" si="4"/>
        <v>Foodstuffs</v>
      </c>
      <c r="AB12" s="2">
        <f t="shared" si="5"/>
        <v>3.4120973628364998E-2</v>
      </c>
      <c r="AC12" s="21" t="e">
        <f t="shared" si="6"/>
        <v>#N/A</v>
      </c>
      <c r="AD12" s="21">
        <f t="shared" si="7"/>
        <v>3.4120973628364998E-2</v>
      </c>
      <c r="AF12" s="1" t="s">
        <v>8</v>
      </c>
      <c r="AG12" s="3">
        <v>-9371603478</v>
      </c>
      <c r="AH12" t="str">
        <f t="shared" si="8"/>
        <v>Miscellaneous</v>
      </c>
      <c r="AI12" s="3">
        <f t="shared" si="9"/>
        <v>-9371603478</v>
      </c>
      <c r="AJ12" s="25" t="e">
        <f t="shared" si="10"/>
        <v>#N/A</v>
      </c>
      <c r="AK12" s="25">
        <f t="shared" si="11"/>
        <v>-9371603478</v>
      </c>
    </row>
    <row r="13" spans="2:37" x14ac:dyDescent="0.25">
      <c r="B13" s="2">
        <v>0.57985403381630729</v>
      </c>
      <c r="K13" s="1" t="s">
        <v>146</v>
      </c>
      <c r="L13" s="16">
        <v>2.8284600617955232E-2</v>
      </c>
      <c r="N13" s="16"/>
      <c r="O13" s="21"/>
      <c r="P13" s="21"/>
      <c r="R13" s="1" t="s">
        <v>115</v>
      </c>
      <c r="S13" s="16">
        <v>2.3407640360824971E-2</v>
      </c>
      <c r="Y13" s="1" t="s">
        <v>7</v>
      </c>
      <c r="Z13" s="2">
        <v>4.1325936582422299E-2</v>
      </c>
      <c r="AA13" t="str">
        <f t="shared" si="4"/>
        <v>Mineral Products</v>
      </c>
      <c r="AB13" s="2">
        <f t="shared" si="5"/>
        <v>4.1325936582422299E-2</v>
      </c>
      <c r="AC13" s="21" t="e">
        <f t="shared" si="6"/>
        <v>#N/A</v>
      </c>
      <c r="AD13" s="21">
        <f t="shared" si="7"/>
        <v>4.1325936582422299E-2</v>
      </c>
      <c r="AF13" s="1" t="s">
        <v>12</v>
      </c>
      <c r="AG13" s="3">
        <v>-6791951556</v>
      </c>
      <c r="AH13" t="str">
        <f t="shared" si="8"/>
        <v>Textiles</v>
      </c>
      <c r="AI13" s="3">
        <f t="shared" si="9"/>
        <v>-6791951556</v>
      </c>
      <c r="AJ13" s="25" t="e">
        <f t="shared" si="10"/>
        <v>#N/A</v>
      </c>
      <c r="AK13" s="25">
        <f t="shared" si="11"/>
        <v>-6791951556</v>
      </c>
    </row>
    <row r="14" spans="2:37" x14ac:dyDescent="0.25">
      <c r="K14" s="1" t="s">
        <v>239</v>
      </c>
      <c r="L14" s="16">
        <v>2.1249378097086064E-2</v>
      </c>
      <c r="R14" s="1" t="s">
        <v>33</v>
      </c>
      <c r="S14" s="16">
        <v>1.9044893878012659E-2</v>
      </c>
      <c r="Y14" s="1" t="s">
        <v>8</v>
      </c>
      <c r="Z14" s="2">
        <v>4.7618513738481631E-2</v>
      </c>
      <c r="AA14" t="str">
        <f t="shared" si="4"/>
        <v>Miscellaneous</v>
      </c>
      <c r="AB14" s="2">
        <f t="shared" si="5"/>
        <v>4.7618513738481631E-2</v>
      </c>
      <c r="AC14" s="21" t="e">
        <f t="shared" si="6"/>
        <v>#N/A</v>
      </c>
      <c r="AD14" s="21">
        <f t="shared" si="7"/>
        <v>4.7618513738481631E-2</v>
      </c>
      <c r="AF14" s="1" t="s">
        <v>4</v>
      </c>
      <c r="AG14" s="3">
        <v>-2293360501</v>
      </c>
      <c r="AH14" t="str">
        <f t="shared" si="8"/>
        <v>Footwear/Headgear</v>
      </c>
      <c r="AI14" s="3">
        <f t="shared" si="9"/>
        <v>-2293360501</v>
      </c>
      <c r="AJ14" s="25" t="e">
        <f t="shared" si="10"/>
        <v>#N/A</v>
      </c>
      <c r="AK14" s="25">
        <f t="shared" si="11"/>
        <v>-2293360501</v>
      </c>
    </row>
    <row r="15" spans="2:37" x14ac:dyDescent="0.25">
      <c r="C15" t="s">
        <v>248</v>
      </c>
      <c r="D15" t="s">
        <v>249</v>
      </c>
      <c r="E15" t="s">
        <v>250</v>
      </c>
      <c r="F15" t="s">
        <v>251</v>
      </c>
      <c r="K15" s="1" t="s">
        <v>118</v>
      </c>
      <c r="L15" s="16">
        <v>1.0907248042839789E-2</v>
      </c>
      <c r="P15" s="2"/>
      <c r="Q15" s="2"/>
      <c r="R15" s="1" t="s">
        <v>100</v>
      </c>
      <c r="S15" s="16">
        <v>1.835630123027877E-2</v>
      </c>
      <c r="Y15" s="1" t="s">
        <v>6</v>
      </c>
      <c r="Z15" s="2">
        <v>5.1073287617053001E-2</v>
      </c>
      <c r="AA15" t="str">
        <f t="shared" si="4"/>
        <v>Metals</v>
      </c>
      <c r="AB15" s="2">
        <f t="shared" si="5"/>
        <v>5.1073287617053001E-2</v>
      </c>
      <c r="AC15" s="21" t="e">
        <f t="shared" si="6"/>
        <v>#N/A</v>
      </c>
      <c r="AD15" s="21">
        <f t="shared" si="7"/>
        <v>5.1073287617053001E-2</v>
      </c>
      <c r="AF15" s="1" t="s">
        <v>11</v>
      </c>
      <c r="AG15" s="3">
        <v>-535060352</v>
      </c>
      <c r="AH15" t="str">
        <f t="shared" si="8"/>
        <v>Stone/Glass</v>
      </c>
      <c r="AI15" s="3">
        <f t="shared" si="9"/>
        <v>-535060352</v>
      </c>
      <c r="AJ15" s="25" t="e">
        <f t="shared" si="10"/>
        <v>#N/A</v>
      </c>
      <c r="AK15" s="25">
        <f t="shared" si="11"/>
        <v>-535060352</v>
      </c>
    </row>
    <row r="16" spans="2:37" x14ac:dyDescent="0.25">
      <c r="B16" s="1">
        <v>2019</v>
      </c>
      <c r="C16" s="2">
        <v>0.16318078733032673</v>
      </c>
      <c r="D16" s="2">
        <v>0.64178821579204148</v>
      </c>
      <c r="E16" s="2">
        <v>0.22820473550878778</v>
      </c>
      <c r="F16" s="2">
        <v>0.53381854460074529</v>
      </c>
      <c r="K16" s="1" t="s">
        <v>119</v>
      </c>
      <c r="L16" s="16">
        <v>1.0735697892947475E-2</v>
      </c>
      <c r="N16" s="16"/>
      <c r="O16" s="16"/>
      <c r="P16" s="16"/>
      <c r="R16" s="1" t="s">
        <v>118</v>
      </c>
      <c r="S16" s="16">
        <v>1.6937487818802232E-2</v>
      </c>
      <c r="Y16" s="1" t="s">
        <v>14</v>
      </c>
      <c r="Z16" s="2">
        <v>5.5189895050159511E-2</v>
      </c>
      <c r="AA16" t="str">
        <f t="shared" si="4"/>
        <v>Vegetable Products</v>
      </c>
      <c r="AB16" s="2">
        <f t="shared" si="5"/>
        <v>5.5189895050159511E-2</v>
      </c>
      <c r="AC16" s="21" t="e">
        <f t="shared" si="6"/>
        <v>#N/A</v>
      </c>
      <c r="AD16" s="21">
        <f t="shared" si="7"/>
        <v>5.5189895050159511E-2</v>
      </c>
      <c r="AF16" s="1" t="s">
        <v>10</v>
      </c>
      <c r="AG16" s="3">
        <v>1612150723</v>
      </c>
      <c r="AH16" t="str">
        <f t="shared" si="8"/>
        <v>Raw Hides, Skins, Leather, &amp; Furs</v>
      </c>
      <c r="AI16" s="3">
        <f t="shared" si="9"/>
        <v>1612150723</v>
      </c>
      <c r="AJ16" s="25">
        <f t="shared" si="10"/>
        <v>1612150723</v>
      </c>
      <c r="AK16" s="25" t="e">
        <f t="shared" si="11"/>
        <v>#N/A</v>
      </c>
    </row>
    <row r="17" spans="2:37" x14ac:dyDescent="0.25">
      <c r="B17" s="1">
        <v>2020</v>
      </c>
      <c r="C17" s="2">
        <v>0.15386699444565571</v>
      </c>
      <c r="D17" s="2">
        <v>0.65769197447844452</v>
      </c>
      <c r="E17" s="2">
        <v>0.23152228318299978</v>
      </c>
      <c r="F17" s="2">
        <v>0.54693928366910161</v>
      </c>
      <c r="K17" s="1" t="s">
        <v>153</v>
      </c>
      <c r="L17" s="16">
        <v>1.04827348717363E-2</v>
      </c>
      <c r="N17" s="16"/>
      <c r="O17" s="16"/>
      <c r="P17" s="16"/>
      <c r="R17" s="1" t="s">
        <v>193</v>
      </c>
      <c r="S17" s="16">
        <v>1.4783676407729396E-2</v>
      </c>
      <c r="Y17" s="1" t="s">
        <v>5</v>
      </c>
      <c r="Z17" s="2">
        <v>0.63654360919586939</v>
      </c>
      <c r="AA17" t="str">
        <f t="shared" si="4"/>
        <v>Machinery/Electrical</v>
      </c>
      <c r="AB17" s="2">
        <f t="shared" si="5"/>
        <v>0.63654360919586939</v>
      </c>
      <c r="AC17" s="21">
        <f t="shared" si="6"/>
        <v>0.63654360919586939</v>
      </c>
      <c r="AD17" s="21" t="e">
        <f t="shared" si="7"/>
        <v>#N/A</v>
      </c>
      <c r="AF17" s="1" t="s">
        <v>5</v>
      </c>
      <c r="AG17" s="3">
        <v>35128497620</v>
      </c>
      <c r="AH17" t="str">
        <f t="shared" si="8"/>
        <v>Machinery/Electrical</v>
      </c>
      <c r="AI17" s="3">
        <f t="shared" si="9"/>
        <v>35128497620</v>
      </c>
      <c r="AJ17" s="25">
        <f t="shared" si="10"/>
        <v>35128497620</v>
      </c>
      <c r="AK17" s="25" t="e">
        <f t="shared" si="11"/>
        <v>#N/A</v>
      </c>
    </row>
    <row r="18" spans="2:37" x14ac:dyDescent="0.25">
      <c r="B18" s="1">
        <v>2021</v>
      </c>
      <c r="C18" s="2">
        <v>0.15892163076955096</v>
      </c>
      <c r="D18" s="2">
        <v>0.64645451989359726</v>
      </c>
      <c r="E18" s="2">
        <v>0.22678863813221015</v>
      </c>
      <c r="F18" s="2">
        <v>0.53847597295112792</v>
      </c>
      <c r="K18" s="1" t="s">
        <v>96</v>
      </c>
      <c r="L18" s="16">
        <v>8.2971658283309529E-3</v>
      </c>
      <c r="N18" s="16"/>
      <c r="O18" s="16"/>
      <c r="P18" s="16"/>
      <c r="R18" s="1" t="s">
        <v>52</v>
      </c>
      <c r="S18" s="16">
        <v>1.1544865797570704E-2</v>
      </c>
      <c r="Y18" s="1" t="s">
        <v>0</v>
      </c>
      <c r="Z18" s="2">
        <v>1</v>
      </c>
      <c r="AF18" s="1" t="s">
        <v>0</v>
      </c>
      <c r="AG18" s="3">
        <v>-315620899023</v>
      </c>
    </row>
    <row r="19" spans="2:37" x14ac:dyDescent="0.25">
      <c r="B19" s="1">
        <v>2022</v>
      </c>
      <c r="C19" s="2">
        <v>0.15807895646239409</v>
      </c>
      <c r="D19" s="2">
        <v>0.6325301844795177</v>
      </c>
      <c r="E19" s="2">
        <v>0.20425242252615519</v>
      </c>
      <c r="F19" s="2">
        <v>0.54317857356716726</v>
      </c>
      <c r="K19" s="1" t="s">
        <v>59</v>
      </c>
      <c r="L19" s="16">
        <v>7.4328464288637595E-3</v>
      </c>
      <c r="N19" s="16"/>
      <c r="O19" s="16"/>
      <c r="P19" s="16"/>
      <c r="R19" s="1" t="s">
        <v>232</v>
      </c>
      <c r="S19" s="16">
        <v>1.0195628330625756E-2</v>
      </c>
    </row>
    <row r="20" spans="2:37" x14ac:dyDescent="0.25">
      <c r="B20" s="1">
        <v>2023</v>
      </c>
      <c r="C20" s="2">
        <v>0.15672625012630292</v>
      </c>
      <c r="D20" s="2">
        <v>0.61428636729681185</v>
      </c>
      <c r="E20" s="2">
        <v>0.23127858514662983</v>
      </c>
      <c r="F20" s="2">
        <v>0.5392953906045117</v>
      </c>
      <c r="K20" s="1" t="s">
        <v>214</v>
      </c>
      <c r="L20" s="16">
        <v>7.2224038437985992E-3</v>
      </c>
      <c r="M20" s="16"/>
      <c r="N20" s="16"/>
      <c r="O20" s="16"/>
      <c r="P20" s="16"/>
      <c r="R20" s="1" t="s">
        <v>96</v>
      </c>
      <c r="S20" s="16">
        <v>9.2908012458884463E-3</v>
      </c>
      <c r="Z20" t="s">
        <v>17</v>
      </c>
    </row>
    <row r="21" spans="2:37" x14ac:dyDescent="0.25">
      <c r="B21" s="1">
        <v>2024</v>
      </c>
      <c r="C21" s="2">
        <v>0.16609622684172803</v>
      </c>
      <c r="D21" s="2">
        <v>0.61608018478616589</v>
      </c>
      <c r="E21" s="2">
        <v>0.25576472756772917</v>
      </c>
      <c r="F21" s="2">
        <v>0.55847645713351102</v>
      </c>
      <c r="K21" s="1" t="s">
        <v>233</v>
      </c>
      <c r="L21" s="16">
        <v>6.8695589193152875E-3</v>
      </c>
      <c r="M21" s="16"/>
      <c r="N21" s="16"/>
      <c r="O21" s="16"/>
      <c r="P21" s="16"/>
      <c r="R21" s="1" t="s">
        <v>124</v>
      </c>
      <c r="S21" s="16">
        <v>7.4280389738188542E-3</v>
      </c>
      <c r="Y21" s="1" t="s">
        <v>10</v>
      </c>
      <c r="Z21" s="2">
        <v>3.3323153088592392E-3</v>
      </c>
      <c r="AA21" t="str">
        <f>$Y21</f>
        <v>Raw Hides, Skins, Leather, &amp; Furs</v>
      </c>
      <c r="AB21" s="2">
        <f>$Z21</f>
        <v>3.3323153088592392E-3</v>
      </c>
      <c r="AC21" s="21" t="e">
        <f>IF($AB21=MAX($AB$21:$AB$35), MAX($AB$21:$AB$35), NA())</f>
        <v>#N/A</v>
      </c>
      <c r="AD21" s="21">
        <f>IF($AB21&lt;&gt;MAX($AB$21:$AB$35), $AB21, NA())</f>
        <v>3.3323153088592392E-3</v>
      </c>
    </row>
    <row r="22" spans="2:37" x14ac:dyDescent="0.25">
      <c r="B22" s="1" t="s">
        <v>0</v>
      </c>
      <c r="C22" s="2">
        <v>0.15952172495864914</v>
      </c>
      <c r="D22" s="2">
        <v>0.63293570718105918</v>
      </c>
      <c r="E22" s="2">
        <v>0.22923443743758815</v>
      </c>
      <c r="F22" s="2">
        <v>0.54347028056636515</v>
      </c>
      <c r="K22" s="1" t="s">
        <v>33</v>
      </c>
      <c r="L22" s="16">
        <v>6.7650135541558179E-3</v>
      </c>
      <c r="M22" s="16"/>
      <c r="N22" s="16"/>
      <c r="O22" s="16"/>
      <c r="P22" s="16"/>
      <c r="R22" s="1" t="s">
        <v>59</v>
      </c>
      <c r="S22" s="16">
        <v>6.4686833598467048E-3</v>
      </c>
      <c r="Y22" s="1" t="s">
        <v>4</v>
      </c>
      <c r="Z22" s="2">
        <v>4.3147764078373249E-3</v>
      </c>
      <c r="AA22" t="str">
        <f t="shared" ref="AA22:AA35" si="12">$Y22</f>
        <v>Footwear/Headgear</v>
      </c>
      <c r="AB22" s="2">
        <f t="shared" ref="AB22:AB35" si="13">$Z22</f>
        <v>4.3147764078373249E-3</v>
      </c>
      <c r="AC22" s="21" t="e">
        <f t="shared" ref="AC22:AC35" si="14">IF($AB22=MAX($AB$21:$AB$35), MAX($AB$21:$AB$35), NA())</f>
        <v>#N/A</v>
      </c>
      <c r="AD22" s="21">
        <f t="shared" ref="AD22:AD35" si="15">IF($AB22&lt;&gt;MAX($AB$21:$AB$35), $AB22, NA())</f>
        <v>4.3147764078373249E-3</v>
      </c>
    </row>
    <row r="23" spans="2:37" x14ac:dyDescent="0.25">
      <c r="K23" s="1" t="s">
        <v>232</v>
      </c>
      <c r="L23" s="16">
        <v>4.5613915497718562E-3</v>
      </c>
      <c r="M23" s="16"/>
      <c r="N23" s="16"/>
      <c r="O23" s="16"/>
      <c r="P23" s="16"/>
      <c r="R23" s="1" t="s">
        <v>233</v>
      </c>
      <c r="S23" s="16">
        <v>5.8290027516076127E-3</v>
      </c>
      <c r="Y23" s="1" t="s">
        <v>11</v>
      </c>
      <c r="Z23" s="2">
        <v>1.4348480036465388E-2</v>
      </c>
      <c r="AA23" t="str">
        <f t="shared" si="12"/>
        <v>Stone/Glass</v>
      </c>
      <c r="AB23" s="2">
        <f t="shared" si="13"/>
        <v>1.4348480036465388E-2</v>
      </c>
      <c r="AC23" s="21" t="e">
        <f t="shared" si="14"/>
        <v>#N/A</v>
      </c>
      <c r="AD23" s="21">
        <f t="shared" si="15"/>
        <v>1.4348480036465388E-2</v>
      </c>
    </row>
    <row r="24" spans="2:37" x14ac:dyDescent="0.25">
      <c r="C24">
        <v>2019</v>
      </c>
      <c r="D24">
        <v>2020</v>
      </c>
      <c r="E24">
        <v>2021</v>
      </c>
      <c r="F24">
        <v>2022</v>
      </c>
      <c r="G24">
        <v>2023</v>
      </c>
      <c r="H24">
        <v>2024</v>
      </c>
      <c r="K24" s="1" t="s">
        <v>77</v>
      </c>
      <c r="L24" s="16">
        <v>3.8031606114800184E-3</v>
      </c>
      <c r="M24" s="16"/>
      <c r="N24" s="16"/>
      <c r="O24" s="16"/>
      <c r="P24" s="16"/>
      <c r="R24" s="1" t="s">
        <v>203</v>
      </c>
      <c r="S24" s="16">
        <v>5.4813015205900945E-3</v>
      </c>
      <c r="Y24" s="1" t="s">
        <v>12</v>
      </c>
      <c r="Z24" s="2">
        <v>1.720047419582028E-2</v>
      </c>
      <c r="AA24" t="str">
        <f t="shared" si="12"/>
        <v>Textiles</v>
      </c>
      <c r="AB24" s="2">
        <f t="shared" si="13"/>
        <v>1.720047419582028E-2</v>
      </c>
      <c r="AC24" s="21" t="e">
        <f t="shared" si="14"/>
        <v>#N/A</v>
      </c>
      <c r="AD24" s="21">
        <f t="shared" si="15"/>
        <v>1.720047419582028E-2</v>
      </c>
    </row>
    <row r="25" spans="2:37" x14ac:dyDescent="0.25">
      <c r="B25" t="s">
        <v>263</v>
      </c>
      <c r="C25" s="16">
        <f>'01_Executive_Overview'!B23</f>
        <v>0.16318078733032673</v>
      </c>
      <c r="D25" s="16">
        <f>'01_Executive_Overview'!D23</f>
        <v>0.15386699444565571</v>
      </c>
      <c r="E25" s="16">
        <f>'01_Executive_Overview'!F23</f>
        <v>0.15892163076955096</v>
      </c>
      <c r="F25" s="16">
        <f>'01_Executive_Overview'!B28</f>
        <v>0.15807895646239409</v>
      </c>
      <c r="G25" s="16">
        <f>'01_Executive_Overview'!D28</f>
        <v>0.15672625012630292</v>
      </c>
      <c r="H25" s="16">
        <f>'01_Executive_Overview'!F28</f>
        <v>0.16609622684172803</v>
      </c>
      <c r="K25" s="1" t="s">
        <v>124</v>
      </c>
      <c r="L25" s="16">
        <v>3.4586546984644454E-3</v>
      </c>
      <c r="M25" s="16"/>
      <c r="N25" s="16"/>
      <c r="O25" s="16"/>
      <c r="P25" s="16"/>
      <c r="R25" s="1" t="s">
        <v>165</v>
      </c>
      <c r="S25" s="16">
        <v>5.1489681301506917E-3</v>
      </c>
      <c r="Y25" s="1" t="s">
        <v>15</v>
      </c>
      <c r="Z25" s="2">
        <v>2.0011589287456978E-2</v>
      </c>
      <c r="AA25" t="str">
        <f t="shared" si="12"/>
        <v>Wood and Wood Products</v>
      </c>
      <c r="AB25" s="2">
        <f t="shared" si="13"/>
        <v>2.0011589287456978E-2</v>
      </c>
      <c r="AC25" s="21" t="e">
        <f t="shared" si="14"/>
        <v>#N/A</v>
      </c>
      <c r="AD25" s="21">
        <f t="shared" si="15"/>
        <v>2.0011589287456978E-2</v>
      </c>
    </row>
    <row r="26" spans="2:37" x14ac:dyDescent="0.25">
      <c r="B26" t="s">
        <v>264</v>
      </c>
      <c r="C26" s="16">
        <f>'01_Executive_Overview'!C23</f>
        <v>0.64178821579204148</v>
      </c>
      <c r="D26" s="16">
        <f>'01_Executive_Overview'!E23</f>
        <v>0.65769197447844452</v>
      </c>
      <c r="E26" s="16">
        <f>'01_Executive_Overview'!G23</f>
        <v>0.64645451989359726</v>
      </c>
      <c r="F26" s="16">
        <f>'01_Executive_Overview'!C28</f>
        <v>0.6325301844795177</v>
      </c>
      <c r="G26" s="16">
        <f>'01_Executive_Overview'!E28</f>
        <v>0.61428636729681185</v>
      </c>
      <c r="H26" s="16">
        <f>'01_Executive_Overview'!G28</f>
        <v>0.61608018478616589</v>
      </c>
      <c r="K26" s="1" t="s">
        <v>203</v>
      </c>
      <c r="L26" s="16">
        <v>3.3309398556838257E-3</v>
      </c>
      <c r="M26" s="16"/>
      <c r="N26" s="16"/>
      <c r="O26" s="16"/>
      <c r="R26" s="1" t="s">
        <v>187</v>
      </c>
      <c r="S26" s="16">
        <v>4.6875361913549848E-3</v>
      </c>
      <c r="Y26" s="1" t="s">
        <v>1</v>
      </c>
      <c r="Z26" s="2">
        <v>2.9876003091720865E-2</v>
      </c>
      <c r="AA26" t="str">
        <f t="shared" si="12"/>
        <v>Animal &amp; Animal Products</v>
      </c>
      <c r="AB26" s="2">
        <f t="shared" si="13"/>
        <v>2.9876003091720865E-2</v>
      </c>
      <c r="AC26" s="21" t="e">
        <f t="shared" si="14"/>
        <v>#N/A</v>
      </c>
      <c r="AD26" s="21">
        <f t="shared" si="15"/>
        <v>2.9876003091720865E-2</v>
      </c>
    </row>
    <row r="27" spans="2:37" x14ac:dyDescent="0.25">
      <c r="B27" t="s">
        <v>265</v>
      </c>
      <c r="C27" s="16">
        <f>'01_Executive_Overview'!B25</f>
        <v>0.22820473550878778</v>
      </c>
      <c r="D27" s="16">
        <f>'01_Executive_Overview'!D25</f>
        <v>0.23152228318299978</v>
      </c>
      <c r="E27" s="16">
        <f>'01_Executive_Overview'!F25</f>
        <v>0.22678863813221015</v>
      </c>
      <c r="F27" s="16">
        <f>'01_Executive_Overview'!B30</f>
        <v>0.20425242252615519</v>
      </c>
      <c r="G27" s="16">
        <f>'01_Executive_Overview'!D30</f>
        <v>0.23127858514662983</v>
      </c>
      <c r="H27" s="16">
        <f>'01_Executive_Overview'!F30</f>
        <v>0.25576472756772917</v>
      </c>
      <c r="K27" s="1" t="s">
        <v>41</v>
      </c>
      <c r="L27" s="16">
        <v>3.1801406415956674E-3</v>
      </c>
      <c r="R27" s="1" t="s">
        <v>41</v>
      </c>
      <c r="S27" s="16">
        <v>4.4813818449765137E-3</v>
      </c>
      <c r="Y27" s="1" t="s">
        <v>9</v>
      </c>
      <c r="Z27" s="2">
        <v>3.9904068432653754E-2</v>
      </c>
      <c r="AA27" t="str">
        <f t="shared" si="12"/>
        <v>Plastics/Rubbers</v>
      </c>
      <c r="AB27" s="2">
        <f t="shared" si="13"/>
        <v>3.9904068432653754E-2</v>
      </c>
      <c r="AC27" s="21" t="e">
        <f t="shared" si="14"/>
        <v>#N/A</v>
      </c>
      <c r="AD27" s="21">
        <f t="shared" si="15"/>
        <v>3.9904068432653754E-2</v>
      </c>
    </row>
    <row r="28" spans="2:37" x14ac:dyDescent="0.25">
      <c r="B28" t="s">
        <v>266</v>
      </c>
      <c r="C28" s="16">
        <f>'01_Executive_Overview'!C25</f>
        <v>0.53381854460074529</v>
      </c>
      <c r="D28" s="16">
        <f>'01_Executive_Overview'!E25</f>
        <v>0.54693928366910161</v>
      </c>
      <c r="E28" s="16">
        <f>'01_Executive_Overview'!G25</f>
        <v>0.53847597295112792</v>
      </c>
      <c r="F28" s="16">
        <f>'01_Executive_Overview'!C30</f>
        <v>0.54317857356716726</v>
      </c>
      <c r="G28" s="16">
        <f>'01_Executive_Overview'!E30</f>
        <v>0.5392953906045117</v>
      </c>
      <c r="H28" s="16">
        <f>'01_Executive_Overview'!G30</f>
        <v>0.55847645713351102</v>
      </c>
      <c r="K28" s="1" t="s">
        <v>182</v>
      </c>
      <c r="L28" s="16">
        <v>3.0214459987230593E-3</v>
      </c>
      <c r="R28" s="1" t="s">
        <v>167</v>
      </c>
      <c r="S28" s="16">
        <v>4.1341956939813275E-3</v>
      </c>
      <c r="Y28" s="1" t="s">
        <v>8</v>
      </c>
      <c r="Z28" s="2">
        <v>4.0087011223512638E-2</v>
      </c>
      <c r="AA28" t="str">
        <f t="shared" si="12"/>
        <v>Miscellaneous</v>
      </c>
      <c r="AB28" s="2">
        <f t="shared" si="13"/>
        <v>4.0087011223512638E-2</v>
      </c>
      <c r="AC28" s="21" t="e">
        <f t="shared" si="14"/>
        <v>#N/A</v>
      </c>
      <c r="AD28" s="21">
        <f t="shared" si="15"/>
        <v>4.0087011223512638E-2</v>
      </c>
    </row>
    <row r="29" spans="2:37" x14ac:dyDescent="0.25">
      <c r="K29" s="1" t="s">
        <v>122</v>
      </c>
      <c r="L29" s="16">
        <v>2.7641963966477719E-3</v>
      </c>
      <c r="R29" s="1" t="s">
        <v>29</v>
      </c>
      <c r="S29" s="16">
        <v>3.373155739285968E-3</v>
      </c>
      <c r="Y29" s="1" t="s">
        <v>14</v>
      </c>
      <c r="Z29" s="2">
        <v>5.3738036056220601E-2</v>
      </c>
      <c r="AA29" t="str">
        <f t="shared" si="12"/>
        <v>Vegetable Products</v>
      </c>
      <c r="AB29" s="2">
        <f t="shared" si="13"/>
        <v>5.3738036056220601E-2</v>
      </c>
      <c r="AC29" s="21" t="e">
        <f t="shared" si="14"/>
        <v>#N/A</v>
      </c>
      <c r="AD29" s="21">
        <f t="shared" si="15"/>
        <v>5.3738036056220601E-2</v>
      </c>
    </row>
    <row r="30" spans="2:37" x14ac:dyDescent="0.25">
      <c r="K30" s="1" t="s">
        <v>52</v>
      </c>
      <c r="L30" s="16">
        <v>2.6878956158554366E-3</v>
      </c>
      <c r="R30" s="1" t="s">
        <v>214</v>
      </c>
      <c r="S30" s="16">
        <v>2.8410075080827876E-3</v>
      </c>
      <c r="Y30" s="1" t="s">
        <v>3</v>
      </c>
      <c r="Z30" s="2">
        <v>5.7644039854884824E-2</v>
      </c>
      <c r="AA30" t="str">
        <f t="shared" si="12"/>
        <v>Foodstuffs</v>
      </c>
      <c r="AB30" s="2">
        <f t="shared" si="13"/>
        <v>5.7644039854884824E-2</v>
      </c>
      <c r="AC30" s="21" t="e">
        <f t="shared" si="14"/>
        <v>#N/A</v>
      </c>
      <c r="AD30" s="21">
        <f t="shared" si="15"/>
        <v>5.7644039854884824E-2</v>
      </c>
    </row>
    <row r="31" spans="2:37" x14ac:dyDescent="0.25">
      <c r="K31" s="1" t="s">
        <v>116</v>
      </c>
      <c r="L31" s="16">
        <v>1.939090711442152E-3</v>
      </c>
      <c r="R31" s="1" t="s">
        <v>184</v>
      </c>
      <c r="S31" s="16">
        <v>2.6957989889630158E-3</v>
      </c>
      <c r="Y31" s="1" t="s">
        <v>6</v>
      </c>
      <c r="Z31" s="2">
        <v>7.2887000525765799E-2</v>
      </c>
      <c r="AA31" t="str">
        <f t="shared" si="12"/>
        <v>Metals</v>
      </c>
      <c r="AB31" s="2">
        <f t="shared" si="13"/>
        <v>7.2887000525765799E-2</v>
      </c>
      <c r="AC31" s="21" t="e">
        <f t="shared" si="14"/>
        <v>#N/A</v>
      </c>
      <c r="AD31" s="21">
        <f t="shared" si="15"/>
        <v>7.2887000525765799E-2</v>
      </c>
    </row>
    <row r="32" spans="2:37" x14ac:dyDescent="0.25">
      <c r="K32" s="1" t="s">
        <v>34</v>
      </c>
      <c r="L32" s="16">
        <v>1.8039456572684917E-3</v>
      </c>
      <c r="R32" s="1" t="s">
        <v>133</v>
      </c>
      <c r="S32" s="16">
        <v>2.6944577364897164E-3</v>
      </c>
      <c r="Y32" s="1" t="s">
        <v>2</v>
      </c>
      <c r="Z32" s="2">
        <v>7.7927492944583926E-2</v>
      </c>
      <c r="AA32" t="str">
        <f t="shared" si="12"/>
        <v>Chemicals and Allied Industries</v>
      </c>
      <c r="AB32" s="2">
        <f t="shared" si="13"/>
        <v>7.7927492944583926E-2</v>
      </c>
      <c r="AC32" s="21" t="e">
        <f t="shared" si="14"/>
        <v>#N/A</v>
      </c>
      <c r="AD32" s="21">
        <f t="shared" si="15"/>
        <v>7.7927492944583926E-2</v>
      </c>
    </row>
    <row r="33" spans="11:30" x14ac:dyDescent="0.25">
      <c r="K33" s="1" t="s">
        <v>202</v>
      </c>
      <c r="L33" s="16">
        <v>1.4798231861647406E-3</v>
      </c>
      <c r="R33" s="1" t="s">
        <v>123</v>
      </c>
      <c r="S33" s="16">
        <v>2.4686748087385333E-3</v>
      </c>
      <c r="Y33" s="1" t="s">
        <v>13</v>
      </c>
      <c r="Z33" s="2">
        <v>8.5047831111812952E-2</v>
      </c>
      <c r="AA33" t="str">
        <f t="shared" si="12"/>
        <v>Transportation</v>
      </c>
      <c r="AB33" s="2">
        <f t="shared" si="13"/>
        <v>8.5047831111812952E-2</v>
      </c>
      <c r="AC33" s="21" t="e">
        <f t="shared" si="14"/>
        <v>#N/A</v>
      </c>
      <c r="AD33" s="21">
        <f t="shared" si="15"/>
        <v>8.5047831111812952E-2</v>
      </c>
    </row>
    <row r="34" spans="11:30" x14ac:dyDescent="0.25">
      <c r="K34" s="1" t="s">
        <v>123</v>
      </c>
      <c r="L34" s="16">
        <v>1.3518726940293642E-3</v>
      </c>
      <c r="R34" s="1" t="s">
        <v>53</v>
      </c>
      <c r="S34" s="16">
        <v>2.4235509929361517E-3</v>
      </c>
      <c r="Y34" s="1" t="s">
        <v>7</v>
      </c>
      <c r="Z34" s="2">
        <v>0.16134060371237541</v>
      </c>
      <c r="AA34" t="str">
        <f t="shared" si="12"/>
        <v>Mineral Products</v>
      </c>
      <c r="AB34" s="2">
        <f t="shared" si="13"/>
        <v>0.16134060371237541</v>
      </c>
      <c r="AC34" s="21" t="e">
        <f t="shared" si="14"/>
        <v>#N/A</v>
      </c>
      <c r="AD34" s="21">
        <f t="shared" si="15"/>
        <v>0.16134060371237541</v>
      </c>
    </row>
    <row r="35" spans="11:30" x14ac:dyDescent="0.25">
      <c r="K35" s="1" t="s">
        <v>193</v>
      </c>
      <c r="L35" s="16">
        <v>1.332179829521412E-3</v>
      </c>
      <c r="R35" s="1" t="s">
        <v>122</v>
      </c>
      <c r="S35" s="16">
        <v>2.3689409945927822E-3</v>
      </c>
      <c r="Y35" s="1" t="s">
        <v>5</v>
      </c>
      <c r="Z35" s="2">
        <v>0.32234027781003</v>
      </c>
      <c r="AA35" t="str">
        <f t="shared" si="12"/>
        <v>Machinery/Electrical</v>
      </c>
      <c r="AB35" s="2">
        <f t="shared" si="13"/>
        <v>0.32234027781003</v>
      </c>
      <c r="AC35" s="21">
        <f t="shared" si="14"/>
        <v>0.32234027781003</v>
      </c>
      <c r="AD35" s="21" t="e">
        <f t="shared" si="15"/>
        <v>#N/A</v>
      </c>
    </row>
    <row r="36" spans="11:30" x14ac:dyDescent="0.25">
      <c r="K36" s="1" t="s">
        <v>78</v>
      </c>
      <c r="L36" s="16">
        <v>1.2157327371321535E-3</v>
      </c>
      <c r="R36" s="1" t="s">
        <v>153</v>
      </c>
      <c r="S36" s="16">
        <v>2.1937974242234367E-3</v>
      </c>
      <c r="Y36" s="1" t="s">
        <v>0</v>
      </c>
      <c r="Z36" s="2">
        <v>1</v>
      </c>
    </row>
    <row r="37" spans="11:30" x14ac:dyDescent="0.25">
      <c r="K37" s="1" t="s">
        <v>29</v>
      </c>
      <c r="L37" s="16">
        <v>1.1909040330467917E-3</v>
      </c>
      <c r="R37" s="1" t="s">
        <v>121</v>
      </c>
      <c r="S37" s="16">
        <v>1.9118684577973345E-3</v>
      </c>
    </row>
    <row r="38" spans="11:30" x14ac:dyDescent="0.25">
      <c r="K38" s="1" t="s">
        <v>187</v>
      </c>
      <c r="L38" s="16">
        <v>1.0783644940158159E-3</v>
      </c>
      <c r="R38" s="1" t="s">
        <v>78</v>
      </c>
      <c r="S38" s="16">
        <v>1.9082122398588655E-3</v>
      </c>
    </row>
    <row r="39" spans="11:30" x14ac:dyDescent="0.25">
      <c r="K39" s="1" t="s">
        <v>225</v>
      </c>
      <c r="L39" s="16">
        <v>9.6570274551411358E-4</v>
      </c>
      <c r="R39" s="1" t="s">
        <v>178</v>
      </c>
      <c r="S39" s="16">
        <v>1.6891274929239134E-3</v>
      </c>
    </row>
    <row r="40" spans="11:30" x14ac:dyDescent="0.25">
      <c r="K40" s="1" t="s">
        <v>54</v>
      </c>
      <c r="L40" s="16">
        <v>9.23306736488236E-4</v>
      </c>
      <c r="R40" s="1" t="s">
        <v>160</v>
      </c>
      <c r="S40" s="16">
        <v>1.6327762805803041E-3</v>
      </c>
    </row>
    <row r="41" spans="11:30" x14ac:dyDescent="0.25">
      <c r="K41" s="1" t="s">
        <v>167</v>
      </c>
      <c r="L41" s="16">
        <v>8.4858083113289507E-4</v>
      </c>
      <c r="R41" s="1" t="s">
        <v>213</v>
      </c>
      <c r="S41" s="16">
        <v>1.5905566579233732E-3</v>
      </c>
    </row>
    <row r="42" spans="11:30" x14ac:dyDescent="0.25">
      <c r="K42" s="1" t="s">
        <v>184</v>
      </c>
      <c r="L42" s="16">
        <v>7.7391825964084437E-4</v>
      </c>
      <c r="R42" s="1" t="s">
        <v>225</v>
      </c>
      <c r="S42" s="16">
        <v>1.5054059845943696E-3</v>
      </c>
    </row>
    <row r="43" spans="11:30" x14ac:dyDescent="0.25">
      <c r="K43" s="1" t="s">
        <v>160</v>
      </c>
      <c r="L43" s="16">
        <v>7.5791648892049954E-4</v>
      </c>
      <c r="R43" s="1" t="s">
        <v>93</v>
      </c>
      <c r="S43" s="16">
        <v>1.3963826340831558E-3</v>
      </c>
    </row>
    <row r="44" spans="11:30" x14ac:dyDescent="0.25">
      <c r="K44" s="1" t="s">
        <v>53</v>
      </c>
      <c r="L44" s="16">
        <v>7.5349714753318608E-4</v>
      </c>
      <c r="R44" s="1" t="s">
        <v>182</v>
      </c>
      <c r="S44" s="16">
        <v>1.3942225811940357E-3</v>
      </c>
    </row>
    <row r="45" spans="11:30" x14ac:dyDescent="0.25">
      <c r="K45" s="1" t="s">
        <v>120</v>
      </c>
      <c r="L45" s="16">
        <v>6.3184502765975287E-4</v>
      </c>
      <c r="R45" s="1" t="s">
        <v>175</v>
      </c>
      <c r="S45" s="16">
        <v>1.3814456023000319E-3</v>
      </c>
    </row>
    <row r="46" spans="11:30" x14ac:dyDescent="0.25">
      <c r="K46" s="1" t="s">
        <v>93</v>
      </c>
      <c r="L46" s="16">
        <v>5.8962580845111918E-4</v>
      </c>
      <c r="R46" s="1" t="s">
        <v>34</v>
      </c>
      <c r="S46" s="16">
        <v>1.2049819557548077E-3</v>
      </c>
    </row>
    <row r="47" spans="11:30" x14ac:dyDescent="0.25">
      <c r="K47" s="1" t="s">
        <v>175</v>
      </c>
      <c r="L47" s="16">
        <v>5.6871132903789823E-4</v>
      </c>
      <c r="R47" s="1" t="s">
        <v>230</v>
      </c>
      <c r="S47" s="16">
        <v>9.8128257705888179E-4</v>
      </c>
    </row>
    <row r="48" spans="11:30" x14ac:dyDescent="0.25">
      <c r="K48" s="1" t="s">
        <v>186</v>
      </c>
      <c r="L48" s="16">
        <v>5.6704363142842228E-4</v>
      </c>
      <c r="R48" s="1" t="s">
        <v>77</v>
      </c>
      <c r="S48" s="16">
        <v>9.7602492092994225E-4</v>
      </c>
    </row>
    <row r="49" spans="11:19" x14ac:dyDescent="0.25">
      <c r="K49" s="1" t="s">
        <v>64</v>
      </c>
      <c r="L49" s="16">
        <v>5.5119365949894109E-4</v>
      </c>
      <c r="R49" s="1" t="s">
        <v>64</v>
      </c>
      <c r="S49" s="16">
        <v>8.8861398668332512E-4</v>
      </c>
    </row>
    <row r="50" spans="11:19" x14ac:dyDescent="0.25">
      <c r="K50" s="1" t="s">
        <v>213</v>
      </c>
      <c r="L50" s="16">
        <v>5.4170363289024416E-4</v>
      </c>
      <c r="R50" s="1" t="s">
        <v>170</v>
      </c>
      <c r="S50" s="16">
        <v>7.8128302408402429E-4</v>
      </c>
    </row>
    <row r="51" spans="11:19" x14ac:dyDescent="0.25">
      <c r="K51" s="1" t="s">
        <v>180</v>
      </c>
      <c r="L51" s="16">
        <v>5.3863452777830833E-4</v>
      </c>
      <c r="R51" s="1" t="s">
        <v>54</v>
      </c>
      <c r="S51" s="16">
        <v>7.4939542449765049E-4</v>
      </c>
    </row>
    <row r="52" spans="11:19" x14ac:dyDescent="0.25">
      <c r="K52" s="1" t="s">
        <v>204</v>
      </c>
      <c r="L52" s="16">
        <v>4.8978308594760649E-4</v>
      </c>
      <c r="R52" s="1" t="s">
        <v>174</v>
      </c>
      <c r="S52" s="16">
        <v>7.1881334870574885E-4</v>
      </c>
    </row>
    <row r="53" spans="11:19" x14ac:dyDescent="0.25">
      <c r="K53" s="1" t="s">
        <v>57</v>
      </c>
      <c r="L53" s="16">
        <v>4.7019291972783358E-4</v>
      </c>
      <c r="R53" s="1" t="s">
        <v>38</v>
      </c>
      <c r="S53" s="16">
        <v>6.5673272323070518E-4</v>
      </c>
    </row>
    <row r="54" spans="11:19" x14ac:dyDescent="0.25">
      <c r="K54" s="1" t="s">
        <v>149</v>
      </c>
      <c r="L54" s="16">
        <v>4.6272487055261412E-4</v>
      </c>
      <c r="R54" s="1" t="s">
        <v>180</v>
      </c>
      <c r="S54" s="16">
        <v>6.3372847524986113E-4</v>
      </c>
    </row>
    <row r="55" spans="11:19" x14ac:dyDescent="0.25">
      <c r="K55" s="1" t="s">
        <v>183</v>
      </c>
      <c r="L55" s="16">
        <v>4.5799432132705571E-4</v>
      </c>
      <c r="R55" s="1" t="s">
        <v>173</v>
      </c>
      <c r="S55" s="16">
        <v>5.4728902028710084E-4</v>
      </c>
    </row>
    <row r="56" spans="11:19" x14ac:dyDescent="0.25">
      <c r="K56" s="1" t="s">
        <v>38</v>
      </c>
      <c r="L56" s="16">
        <v>4.3254841281174854E-4</v>
      </c>
      <c r="R56" s="1" t="s">
        <v>202</v>
      </c>
      <c r="S56" s="16">
        <v>5.3183069856038083E-4</v>
      </c>
    </row>
    <row r="57" spans="11:19" x14ac:dyDescent="0.25">
      <c r="K57" s="1" t="s">
        <v>81</v>
      </c>
      <c r="L57" s="16">
        <v>4.2981751989625271E-4</v>
      </c>
      <c r="R57" s="1" t="s">
        <v>57</v>
      </c>
      <c r="S57" s="16">
        <v>4.5330529904273891E-4</v>
      </c>
    </row>
    <row r="58" spans="11:19" x14ac:dyDescent="0.25">
      <c r="K58" s="1" t="s">
        <v>133</v>
      </c>
      <c r="L58" s="16">
        <v>3.8140244535329296E-4</v>
      </c>
      <c r="R58" s="1" t="s">
        <v>186</v>
      </c>
      <c r="S58" s="16">
        <v>4.4220532635856716E-4</v>
      </c>
    </row>
    <row r="59" spans="11:19" x14ac:dyDescent="0.25">
      <c r="K59" s="1" t="s">
        <v>103</v>
      </c>
      <c r="L59" s="16">
        <v>3.4645347981722424E-4</v>
      </c>
      <c r="R59" s="1" t="s">
        <v>199</v>
      </c>
      <c r="S59" s="16">
        <v>3.6996306660436797E-4</v>
      </c>
    </row>
    <row r="60" spans="11:19" x14ac:dyDescent="0.25">
      <c r="K60" s="1" t="s">
        <v>72</v>
      </c>
      <c r="L60" s="16">
        <v>3.3514713635729074E-4</v>
      </c>
      <c r="R60" s="1" t="s">
        <v>141</v>
      </c>
      <c r="S60" s="16">
        <v>3.5924239298242906E-4</v>
      </c>
    </row>
    <row r="61" spans="11:19" x14ac:dyDescent="0.25">
      <c r="K61" s="1" t="s">
        <v>198</v>
      </c>
      <c r="L61" s="16">
        <v>3.3111496074408881E-4</v>
      </c>
      <c r="R61" s="1" t="s">
        <v>143</v>
      </c>
      <c r="S61" s="16">
        <v>3.4300495709554707E-4</v>
      </c>
    </row>
    <row r="62" spans="11:19" x14ac:dyDescent="0.25">
      <c r="K62" s="1" t="s">
        <v>247</v>
      </c>
      <c r="L62" s="16">
        <v>3.1001406562958825E-4</v>
      </c>
      <c r="R62" s="1" t="s">
        <v>21</v>
      </c>
      <c r="S62" s="16">
        <v>3.2102211137330128E-4</v>
      </c>
    </row>
    <row r="63" spans="11:19" x14ac:dyDescent="0.25">
      <c r="K63" s="1" t="s">
        <v>68</v>
      </c>
      <c r="L63" s="16">
        <v>2.9379536701509037E-4</v>
      </c>
      <c r="R63" s="1" t="s">
        <v>128</v>
      </c>
      <c r="S63" s="16">
        <v>3.0882552516548872E-4</v>
      </c>
    </row>
    <row r="64" spans="11:19" x14ac:dyDescent="0.25">
      <c r="K64" s="1" t="s">
        <v>178</v>
      </c>
      <c r="L64" s="16">
        <v>2.601775122500108E-4</v>
      </c>
      <c r="R64" s="1" t="s">
        <v>86</v>
      </c>
      <c r="S64" s="16">
        <v>2.756977104549833E-4</v>
      </c>
    </row>
    <row r="65" spans="11:19" x14ac:dyDescent="0.25">
      <c r="K65" s="1" t="s">
        <v>106</v>
      </c>
      <c r="L65" s="16">
        <v>2.3493382535336592E-4</v>
      </c>
      <c r="R65" s="1" t="s">
        <v>37</v>
      </c>
      <c r="S65" s="16">
        <v>2.5770316902658534E-4</v>
      </c>
    </row>
    <row r="66" spans="11:19" x14ac:dyDescent="0.25">
      <c r="K66" s="1" t="s">
        <v>158</v>
      </c>
      <c r="L66" s="16">
        <v>1.9739702595011229E-4</v>
      </c>
      <c r="R66" s="1" t="s">
        <v>149</v>
      </c>
      <c r="S66" s="16">
        <v>2.4692431782717006E-4</v>
      </c>
    </row>
    <row r="67" spans="11:19" x14ac:dyDescent="0.25">
      <c r="K67" s="1" t="s">
        <v>224</v>
      </c>
      <c r="L67" s="16">
        <v>1.8046204953303752E-4</v>
      </c>
      <c r="R67" s="1" t="s">
        <v>103</v>
      </c>
      <c r="S67" s="16">
        <v>2.4061216248949497E-4</v>
      </c>
    </row>
    <row r="68" spans="11:19" x14ac:dyDescent="0.25">
      <c r="K68" s="1" t="s">
        <v>177</v>
      </c>
      <c r="L68" s="16">
        <v>1.6273890077240193E-4</v>
      </c>
      <c r="R68" s="1" t="s">
        <v>116</v>
      </c>
      <c r="S68" s="16">
        <v>2.1989521554001315E-4</v>
      </c>
    </row>
    <row r="69" spans="11:19" x14ac:dyDescent="0.25">
      <c r="K69" s="1" t="s">
        <v>143</v>
      </c>
      <c r="L69" s="16">
        <v>1.5646228489085633E-4</v>
      </c>
      <c r="R69" s="1" t="s">
        <v>84</v>
      </c>
      <c r="S69" s="16">
        <v>2.0080151937903692E-4</v>
      </c>
    </row>
    <row r="70" spans="11:19" x14ac:dyDescent="0.25">
      <c r="K70" s="1" t="s">
        <v>84</v>
      </c>
      <c r="L70" s="16">
        <v>1.5541973025341862E-4</v>
      </c>
      <c r="R70" s="1" t="s">
        <v>158</v>
      </c>
      <c r="S70" s="16">
        <v>1.7594554609173493E-4</v>
      </c>
    </row>
    <row r="71" spans="11:19" x14ac:dyDescent="0.25">
      <c r="K71" s="1" t="s">
        <v>121</v>
      </c>
      <c r="L71" s="16">
        <v>1.5119924957510177E-4</v>
      </c>
      <c r="R71" s="1" t="s">
        <v>68</v>
      </c>
      <c r="S71" s="16">
        <v>1.7429038043456749E-4</v>
      </c>
    </row>
    <row r="72" spans="11:19" x14ac:dyDescent="0.25">
      <c r="K72" s="1" t="s">
        <v>37</v>
      </c>
      <c r="L72" s="16">
        <v>1.4614484548168893E-4</v>
      </c>
      <c r="R72" s="1" t="s">
        <v>163</v>
      </c>
      <c r="S72" s="16">
        <v>1.7130310080559638E-4</v>
      </c>
    </row>
    <row r="73" spans="11:19" x14ac:dyDescent="0.25">
      <c r="K73" s="1" t="s">
        <v>234</v>
      </c>
      <c r="L73" s="16">
        <v>1.4326636179952152E-4</v>
      </c>
      <c r="R73" s="1" t="s">
        <v>234</v>
      </c>
      <c r="S73" s="16">
        <v>1.6029777184747762E-4</v>
      </c>
    </row>
    <row r="74" spans="11:19" x14ac:dyDescent="0.25">
      <c r="K74" s="1" t="s">
        <v>174</v>
      </c>
      <c r="L74" s="16">
        <v>1.395472512485533E-4</v>
      </c>
      <c r="R74" s="1" t="s">
        <v>72</v>
      </c>
      <c r="S74" s="16">
        <v>1.4744004534062046E-4</v>
      </c>
    </row>
    <row r="75" spans="11:19" x14ac:dyDescent="0.25">
      <c r="K75" s="1" t="s">
        <v>173</v>
      </c>
      <c r="L75" s="16">
        <v>1.0473136992985464E-4</v>
      </c>
      <c r="R75" s="1" t="s">
        <v>177</v>
      </c>
      <c r="S75" s="16">
        <v>1.4717130151330879E-4</v>
      </c>
    </row>
    <row r="76" spans="11:19" x14ac:dyDescent="0.25">
      <c r="K76" s="1" t="s">
        <v>147</v>
      </c>
      <c r="L76" s="16">
        <v>1.0108561857859073E-4</v>
      </c>
      <c r="R76" s="1" t="s">
        <v>81</v>
      </c>
      <c r="S76" s="16">
        <v>1.406028394960971E-4</v>
      </c>
    </row>
    <row r="77" spans="11:19" x14ac:dyDescent="0.25">
      <c r="K77" s="1" t="s">
        <v>141</v>
      </c>
      <c r="L77" s="16">
        <v>1.0002664736668625E-4</v>
      </c>
      <c r="R77" s="1" t="s">
        <v>183</v>
      </c>
      <c r="S77" s="16">
        <v>1.3625714458249556E-4</v>
      </c>
    </row>
    <row r="78" spans="11:19" x14ac:dyDescent="0.25">
      <c r="K78" s="1" t="s">
        <v>139</v>
      </c>
      <c r="L78" s="16">
        <v>9.8358309255982987E-5</v>
      </c>
      <c r="R78" s="1" t="s">
        <v>83</v>
      </c>
      <c r="S78" s="16">
        <v>1.2884146160948708E-4</v>
      </c>
    </row>
    <row r="79" spans="11:19" x14ac:dyDescent="0.25">
      <c r="K79" s="1" t="s">
        <v>136</v>
      </c>
      <c r="L79" s="16">
        <v>9.1537584138314069E-5</v>
      </c>
      <c r="R79" s="1" t="s">
        <v>152</v>
      </c>
      <c r="S79" s="16">
        <v>1.2829864260766911E-4</v>
      </c>
    </row>
    <row r="80" spans="11:19" x14ac:dyDescent="0.25">
      <c r="K80" s="1" t="s">
        <v>170</v>
      </c>
      <c r="L80" s="16">
        <v>8.8163582076569781E-5</v>
      </c>
      <c r="R80" s="1" t="s">
        <v>154</v>
      </c>
      <c r="S80" s="16">
        <v>1.2020578269650157E-4</v>
      </c>
    </row>
    <row r="81" spans="11:19" x14ac:dyDescent="0.25">
      <c r="K81" s="1" t="s">
        <v>142</v>
      </c>
      <c r="L81" s="16">
        <v>8.6247539872957851E-5</v>
      </c>
      <c r="R81" s="1" t="s">
        <v>243</v>
      </c>
      <c r="S81" s="16">
        <v>1.1376556586998365E-4</v>
      </c>
    </row>
    <row r="82" spans="11:19" x14ac:dyDescent="0.25">
      <c r="K82" s="1" t="s">
        <v>88</v>
      </c>
      <c r="L82" s="16">
        <v>8.2685565623080584E-5</v>
      </c>
      <c r="R82" s="1" t="s">
        <v>24</v>
      </c>
      <c r="S82" s="16">
        <v>1.0590050823448801E-4</v>
      </c>
    </row>
    <row r="83" spans="11:19" x14ac:dyDescent="0.25">
      <c r="K83" s="1" t="s">
        <v>154</v>
      </c>
      <c r="L83" s="16">
        <v>8.1866729570227004E-5</v>
      </c>
      <c r="R83" s="1" t="s">
        <v>204</v>
      </c>
      <c r="S83" s="16">
        <v>1.0512072050087277E-4</v>
      </c>
    </row>
    <row r="84" spans="11:19" x14ac:dyDescent="0.25">
      <c r="K84" s="1" t="s">
        <v>129</v>
      </c>
      <c r="L84" s="16">
        <v>7.6695956275342966E-5</v>
      </c>
      <c r="R84" s="1" t="s">
        <v>127</v>
      </c>
      <c r="S84" s="16">
        <v>1.0467279814794599E-4</v>
      </c>
    </row>
    <row r="85" spans="11:19" x14ac:dyDescent="0.25">
      <c r="K85" s="1" t="s">
        <v>76</v>
      </c>
      <c r="L85" s="16">
        <v>7.3666192631263001E-5</v>
      </c>
      <c r="R85" s="1" t="s">
        <v>40</v>
      </c>
      <c r="S85" s="16">
        <v>9.7039208838103241E-5</v>
      </c>
    </row>
    <row r="86" spans="11:19" x14ac:dyDescent="0.25">
      <c r="K86" s="1" t="s">
        <v>218</v>
      </c>
      <c r="L86" s="16">
        <v>7.0901881162486135E-5</v>
      </c>
      <c r="R86" s="1" t="s">
        <v>150</v>
      </c>
      <c r="S86" s="16">
        <v>9.4640169159171617E-5</v>
      </c>
    </row>
    <row r="87" spans="11:19" x14ac:dyDescent="0.25">
      <c r="K87" s="1" t="s">
        <v>83</v>
      </c>
      <c r="L87" s="16">
        <v>6.7668807736368476E-5</v>
      </c>
      <c r="R87" s="1" t="s">
        <v>130</v>
      </c>
      <c r="S87" s="16">
        <v>8.2733826551090235E-5</v>
      </c>
    </row>
    <row r="88" spans="11:19" x14ac:dyDescent="0.25">
      <c r="K88" s="1" t="s">
        <v>101</v>
      </c>
      <c r="L88" s="16">
        <v>6.4891229398084769E-5</v>
      </c>
      <c r="R88" s="1" t="s">
        <v>135</v>
      </c>
      <c r="S88" s="16">
        <v>7.9846878749685845E-5</v>
      </c>
    </row>
    <row r="89" spans="11:19" x14ac:dyDescent="0.25">
      <c r="K89" s="1" t="s">
        <v>172</v>
      </c>
      <c r="L89" s="16">
        <v>6.4103681485827967E-5</v>
      </c>
      <c r="R89" s="1" t="s">
        <v>76</v>
      </c>
      <c r="S89" s="16">
        <v>7.8757802326623262E-5</v>
      </c>
    </row>
    <row r="90" spans="11:19" x14ac:dyDescent="0.25">
      <c r="K90" s="1" t="s">
        <v>166</v>
      </c>
      <c r="L90" s="16">
        <v>6.1181910021791534E-5</v>
      </c>
      <c r="R90" s="1" t="s">
        <v>237</v>
      </c>
      <c r="S90" s="16">
        <v>6.5160304472672002E-5</v>
      </c>
    </row>
    <row r="91" spans="11:19" x14ac:dyDescent="0.25">
      <c r="K91" s="1" t="s">
        <v>196</v>
      </c>
      <c r="L91" s="16">
        <v>5.9600602024084371E-5</v>
      </c>
      <c r="R91" s="1" t="s">
        <v>142</v>
      </c>
      <c r="S91" s="16">
        <v>6.2510382643496664E-5</v>
      </c>
    </row>
    <row r="92" spans="11:19" x14ac:dyDescent="0.25">
      <c r="K92" s="1" t="s">
        <v>94</v>
      </c>
      <c r="L92" s="16">
        <v>5.4709390297130025E-5</v>
      </c>
      <c r="R92" s="1" t="s">
        <v>97</v>
      </c>
      <c r="S92" s="16">
        <v>6.1530687360916912E-5</v>
      </c>
    </row>
    <row r="93" spans="11:19" x14ac:dyDescent="0.25">
      <c r="K93" s="1" t="s">
        <v>243</v>
      </c>
      <c r="L93" s="16">
        <v>5.4318487118007732E-5</v>
      </c>
      <c r="R93" s="1" t="s">
        <v>200</v>
      </c>
      <c r="S93" s="16">
        <v>5.9096656472907262E-5</v>
      </c>
    </row>
    <row r="94" spans="11:19" x14ac:dyDescent="0.25">
      <c r="K94" s="1" t="s">
        <v>161</v>
      </c>
      <c r="L94" s="16">
        <v>5.2701492412135856E-5</v>
      </c>
      <c r="R94" s="1" t="s">
        <v>107</v>
      </c>
      <c r="S94" s="16">
        <v>5.8791722049795381E-5</v>
      </c>
    </row>
    <row r="95" spans="11:19" x14ac:dyDescent="0.25">
      <c r="K95" s="1" t="s">
        <v>199</v>
      </c>
      <c r="L95" s="16">
        <v>5.2281504967607398E-5</v>
      </c>
      <c r="R95" s="1" t="s">
        <v>220</v>
      </c>
      <c r="S95" s="16">
        <v>5.0935910740795055E-5</v>
      </c>
    </row>
    <row r="96" spans="11:19" x14ac:dyDescent="0.25">
      <c r="K96" s="1" t="s">
        <v>75</v>
      </c>
      <c r="L96" s="16">
        <v>4.8312031899281835E-5</v>
      </c>
      <c r="R96" s="1" t="s">
        <v>47</v>
      </c>
      <c r="S96" s="16">
        <v>5.0768687478389618E-5</v>
      </c>
    </row>
    <row r="97" spans="11:19" x14ac:dyDescent="0.25">
      <c r="K97" s="1" t="s">
        <v>150</v>
      </c>
      <c r="L97" s="16">
        <v>4.7904817748045657E-5</v>
      </c>
      <c r="R97" s="1" t="s">
        <v>159</v>
      </c>
      <c r="S97" s="16">
        <v>4.8261745591992203E-5</v>
      </c>
    </row>
    <row r="98" spans="11:19" x14ac:dyDescent="0.25">
      <c r="K98" s="1" t="s">
        <v>18</v>
      </c>
      <c r="L98" s="16">
        <v>4.7594440954403842E-5</v>
      </c>
      <c r="R98" s="1" t="s">
        <v>224</v>
      </c>
      <c r="S98" s="16">
        <v>4.6060433000925286E-5</v>
      </c>
    </row>
    <row r="99" spans="11:19" x14ac:dyDescent="0.25">
      <c r="K99" s="1" t="s">
        <v>89</v>
      </c>
      <c r="L99" s="16">
        <v>4.6111265090965529E-5</v>
      </c>
      <c r="R99" s="1" t="s">
        <v>74</v>
      </c>
      <c r="S99" s="16">
        <v>4.2646005302253094E-5</v>
      </c>
    </row>
    <row r="100" spans="11:19" x14ac:dyDescent="0.25">
      <c r="K100" s="1" t="s">
        <v>230</v>
      </c>
      <c r="L100" s="16">
        <v>4.3618604196465369E-5</v>
      </c>
      <c r="R100" s="1" t="s">
        <v>129</v>
      </c>
      <c r="S100" s="16">
        <v>4.1057050850606918E-5</v>
      </c>
    </row>
    <row r="101" spans="11:19" x14ac:dyDescent="0.25">
      <c r="K101" s="1" t="s">
        <v>176</v>
      </c>
      <c r="L101" s="16">
        <v>4.2519912725656675E-5</v>
      </c>
      <c r="R101" s="1" t="s">
        <v>236</v>
      </c>
      <c r="S101" s="16">
        <v>4.0625465981854758E-5</v>
      </c>
    </row>
    <row r="102" spans="11:19" x14ac:dyDescent="0.25">
      <c r="K102" s="1" t="s">
        <v>242</v>
      </c>
      <c r="L102" s="16">
        <v>4.1491908255883683E-5</v>
      </c>
      <c r="R102" s="1" t="s">
        <v>217</v>
      </c>
      <c r="S102" s="16">
        <v>3.8062790551301582E-5</v>
      </c>
    </row>
    <row r="103" spans="11:19" x14ac:dyDescent="0.25">
      <c r="K103" s="1" t="s">
        <v>73</v>
      </c>
      <c r="L103" s="16">
        <v>3.8135707077710279E-5</v>
      </c>
      <c r="R103" s="1" t="s">
        <v>198</v>
      </c>
      <c r="S103" s="16">
        <v>3.7117010890151083E-5</v>
      </c>
    </row>
    <row r="104" spans="11:19" x14ac:dyDescent="0.25">
      <c r="K104" s="1" t="s">
        <v>127</v>
      </c>
      <c r="L104" s="16">
        <v>3.7954514101491761E-5</v>
      </c>
      <c r="R104" s="1" t="s">
        <v>88</v>
      </c>
      <c r="S104" s="16">
        <v>3.6629668516132179E-5</v>
      </c>
    </row>
    <row r="105" spans="11:19" x14ac:dyDescent="0.25">
      <c r="K105" s="1" t="s">
        <v>137</v>
      </c>
      <c r="L105" s="16">
        <v>3.7664697626815728E-5</v>
      </c>
      <c r="R105" s="1" t="s">
        <v>117</v>
      </c>
      <c r="S105" s="16">
        <v>3.5703162906425065E-5</v>
      </c>
    </row>
    <row r="106" spans="11:19" x14ac:dyDescent="0.25">
      <c r="K106" s="1" t="s">
        <v>107</v>
      </c>
      <c r="L106" s="16">
        <v>3.5933560551696514E-5</v>
      </c>
      <c r="R106" s="1" t="s">
        <v>75</v>
      </c>
      <c r="S106" s="16">
        <v>3.4225368042166071E-5</v>
      </c>
    </row>
    <row r="107" spans="11:19" x14ac:dyDescent="0.25">
      <c r="K107" s="1" t="s">
        <v>74</v>
      </c>
      <c r="L107" s="16">
        <v>3.5779013803954539E-5</v>
      </c>
      <c r="R107" s="1" t="s">
        <v>114</v>
      </c>
      <c r="S107" s="16">
        <v>3.3548346851228414E-5</v>
      </c>
    </row>
    <row r="108" spans="11:19" x14ac:dyDescent="0.25">
      <c r="K108" s="1" t="s">
        <v>155</v>
      </c>
      <c r="L108" s="16">
        <v>3.3323731550968565E-5</v>
      </c>
      <c r="R108" s="1" t="s">
        <v>87</v>
      </c>
      <c r="S108" s="16">
        <v>3.1743870193291181E-5</v>
      </c>
    </row>
    <row r="109" spans="11:19" x14ac:dyDescent="0.25">
      <c r="K109" s="1" t="s">
        <v>236</v>
      </c>
      <c r="L109" s="16">
        <v>3.3303283721465629E-5</v>
      </c>
      <c r="R109" s="1" t="s">
        <v>145</v>
      </c>
      <c r="S109" s="16">
        <v>2.9906253987686089E-5</v>
      </c>
    </row>
    <row r="110" spans="11:19" x14ac:dyDescent="0.25">
      <c r="K110" s="1" t="s">
        <v>58</v>
      </c>
      <c r="L110" s="16">
        <v>3.2197457204727315E-5</v>
      </c>
      <c r="R110" s="1" t="s">
        <v>245</v>
      </c>
      <c r="S110" s="16">
        <v>2.9184733020127081E-5</v>
      </c>
    </row>
    <row r="111" spans="11:19" x14ac:dyDescent="0.25">
      <c r="K111" s="1" t="s">
        <v>128</v>
      </c>
      <c r="L111" s="16">
        <v>3.1223360440398125E-5</v>
      </c>
      <c r="R111" s="1" t="s">
        <v>85</v>
      </c>
      <c r="S111" s="16">
        <v>2.8650082094810013E-5</v>
      </c>
    </row>
    <row r="112" spans="11:19" x14ac:dyDescent="0.25">
      <c r="K112" s="1" t="s">
        <v>21</v>
      </c>
      <c r="L112" s="16">
        <v>2.9421552434166478E-5</v>
      </c>
      <c r="R112" s="1" t="s">
        <v>99</v>
      </c>
      <c r="S112" s="16">
        <v>2.3578473343301828E-5</v>
      </c>
    </row>
    <row r="113" spans="11:19" x14ac:dyDescent="0.25">
      <c r="K113" s="1" t="s">
        <v>92</v>
      </c>
      <c r="L113" s="16">
        <v>2.9364637357368809E-5</v>
      </c>
      <c r="R113" s="1" t="s">
        <v>228</v>
      </c>
      <c r="S113" s="16">
        <v>2.1003624337194423E-5</v>
      </c>
    </row>
    <row r="114" spans="11:19" x14ac:dyDescent="0.25">
      <c r="K114" s="1" t="s">
        <v>22</v>
      </c>
      <c r="L114" s="16">
        <v>2.8585790160708292E-5</v>
      </c>
      <c r="R114" s="1" t="s">
        <v>136</v>
      </c>
      <c r="S114" s="16">
        <v>2.0717065423863909E-5</v>
      </c>
    </row>
    <row r="115" spans="11:19" x14ac:dyDescent="0.25">
      <c r="K115" s="1" t="s">
        <v>200</v>
      </c>
      <c r="L115" s="16">
        <v>2.8006907906343042E-5</v>
      </c>
      <c r="R115" s="1" t="s">
        <v>195</v>
      </c>
      <c r="S115" s="16">
        <v>1.6490505154089707E-5</v>
      </c>
    </row>
    <row r="116" spans="11:19" x14ac:dyDescent="0.25">
      <c r="K116" s="1" t="s">
        <v>217</v>
      </c>
      <c r="L116" s="16">
        <v>2.6643618261867614E-5</v>
      </c>
      <c r="R116" s="1" t="s">
        <v>106</v>
      </c>
      <c r="S116" s="16">
        <v>1.5382105426188951E-5</v>
      </c>
    </row>
    <row r="117" spans="11:19" x14ac:dyDescent="0.25">
      <c r="K117" s="1" t="s">
        <v>231</v>
      </c>
      <c r="L117" s="16">
        <v>2.3746844711321408E-5</v>
      </c>
      <c r="R117" s="1" t="s">
        <v>92</v>
      </c>
      <c r="S117" s="16">
        <v>1.2061498788759187E-5</v>
      </c>
    </row>
    <row r="118" spans="11:19" x14ac:dyDescent="0.25">
      <c r="K118" s="1" t="s">
        <v>70</v>
      </c>
      <c r="L118" s="16">
        <v>2.3363313035571063E-5</v>
      </c>
      <c r="R118" s="1" t="s">
        <v>101</v>
      </c>
      <c r="S118" s="16">
        <v>1.186703307433437E-5</v>
      </c>
    </row>
    <row r="119" spans="11:19" x14ac:dyDescent="0.25">
      <c r="K119" s="1" t="s">
        <v>114</v>
      </c>
      <c r="L119" s="16">
        <v>2.3013103493562175E-5</v>
      </c>
      <c r="R119" s="1" t="s">
        <v>120</v>
      </c>
      <c r="S119" s="16">
        <v>1.0469755530028688E-5</v>
      </c>
    </row>
    <row r="120" spans="11:19" x14ac:dyDescent="0.25">
      <c r="K120" s="1" t="s">
        <v>164</v>
      </c>
      <c r="L120" s="16">
        <v>2.2177375655653846E-5</v>
      </c>
      <c r="R120" s="1" t="s">
        <v>194</v>
      </c>
      <c r="S120" s="16">
        <v>9.9503318907438572E-6</v>
      </c>
    </row>
    <row r="121" spans="11:19" x14ac:dyDescent="0.25">
      <c r="K121" s="1" t="s">
        <v>190</v>
      </c>
      <c r="L121" s="16">
        <v>2.1833782330623453E-5</v>
      </c>
      <c r="R121" s="1" t="s">
        <v>27</v>
      </c>
      <c r="S121" s="16">
        <v>9.2319458352056486E-6</v>
      </c>
    </row>
    <row r="122" spans="11:19" x14ac:dyDescent="0.25">
      <c r="K122" s="1" t="s">
        <v>99</v>
      </c>
      <c r="L122" s="16">
        <v>2.1550841487401483E-5</v>
      </c>
      <c r="R122" s="1" t="s">
        <v>238</v>
      </c>
      <c r="S122" s="16">
        <v>8.6667351751703271E-6</v>
      </c>
    </row>
    <row r="123" spans="11:19" x14ac:dyDescent="0.25">
      <c r="K123" s="1" t="s">
        <v>179</v>
      </c>
      <c r="L123" s="16">
        <v>2.0524088175939828E-5</v>
      </c>
      <c r="R123" s="1" t="s">
        <v>90</v>
      </c>
      <c r="S123" s="16">
        <v>8.38264824978997E-6</v>
      </c>
    </row>
    <row r="124" spans="11:19" x14ac:dyDescent="0.25">
      <c r="K124" s="1" t="s">
        <v>152</v>
      </c>
      <c r="L124" s="16">
        <v>2.0208867448285301E-5</v>
      </c>
      <c r="R124" s="1" t="s">
        <v>89</v>
      </c>
      <c r="S124" s="16">
        <v>8.2672888121158979E-6</v>
      </c>
    </row>
    <row r="125" spans="11:19" x14ac:dyDescent="0.25">
      <c r="K125" s="1" t="s">
        <v>135</v>
      </c>
      <c r="L125" s="16">
        <v>1.8105941219915741E-5</v>
      </c>
      <c r="R125" s="1" t="s">
        <v>179</v>
      </c>
      <c r="S125" s="16">
        <v>8.2648780581160394E-6</v>
      </c>
    </row>
    <row r="126" spans="11:19" x14ac:dyDescent="0.25">
      <c r="K126" s="1" t="s">
        <v>44</v>
      </c>
      <c r="L126" s="16">
        <v>1.6853187394766347E-5</v>
      </c>
      <c r="R126" s="1" t="s">
        <v>244</v>
      </c>
      <c r="S126" s="16">
        <v>7.0281146651394308E-6</v>
      </c>
    </row>
    <row r="127" spans="11:19" x14ac:dyDescent="0.25">
      <c r="K127" s="1" t="s">
        <v>229</v>
      </c>
      <c r="L127" s="16">
        <v>1.5685064672639944E-5</v>
      </c>
      <c r="R127" s="1" t="s">
        <v>185</v>
      </c>
      <c r="S127" s="16">
        <v>6.9538472016352271E-6</v>
      </c>
    </row>
    <row r="128" spans="11:19" x14ac:dyDescent="0.25">
      <c r="K128" s="1" t="s">
        <v>46</v>
      </c>
      <c r="L128" s="16">
        <v>1.5358425116654032E-5</v>
      </c>
      <c r="R128" s="1" t="s">
        <v>218</v>
      </c>
      <c r="S128" s="16">
        <v>6.5790315295026001E-6</v>
      </c>
    </row>
    <row r="129" spans="11:19" x14ac:dyDescent="0.25">
      <c r="K129" s="1" t="s">
        <v>85</v>
      </c>
      <c r="L129" s="16">
        <v>1.4291797734165486E-5</v>
      </c>
      <c r="R129" s="1" t="s">
        <v>144</v>
      </c>
      <c r="S129" s="16">
        <v>6.0868796280394712E-6</v>
      </c>
    </row>
    <row r="130" spans="11:19" x14ac:dyDescent="0.25">
      <c r="K130" s="1" t="s">
        <v>237</v>
      </c>
      <c r="L130" s="16">
        <v>1.4202777246387848E-5</v>
      </c>
      <c r="R130" s="1" t="s">
        <v>125</v>
      </c>
      <c r="S130" s="16">
        <v>5.8217499349683287E-6</v>
      </c>
    </row>
    <row r="131" spans="11:19" x14ac:dyDescent="0.25">
      <c r="K131" s="1" t="s">
        <v>28</v>
      </c>
      <c r="L131" s="16">
        <v>1.3175771407560601E-5</v>
      </c>
      <c r="R131" s="1" t="s">
        <v>58</v>
      </c>
      <c r="S131" s="16">
        <v>4.4618517238023654E-6</v>
      </c>
    </row>
    <row r="132" spans="11:19" x14ac:dyDescent="0.25">
      <c r="K132" s="1" t="s">
        <v>117</v>
      </c>
      <c r="L132" s="16">
        <v>1.2078367826316426E-5</v>
      </c>
      <c r="R132" s="1" t="s">
        <v>23</v>
      </c>
      <c r="S132" s="16">
        <v>4.0803402523217044E-6</v>
      </c>
    </row>
    <row r="133" spans="11:19" x14ac:dyDescent="0.25">
      <c r="K133" s="1" t="s">
        <v>195</v>
      </c>
      <c r="L133" s="16">
        <v>1.1026481154868451E-5</v>
      </c>
      <c r="R133" s="1" t="s">
        <v>147</v>
      </c>
      <c r="S133" s="16">
        <v>4.0773065094361835E-6</v>
      </c>
    </row>
    <row r="134" spans="11:19" x14ac:dyDescent="0.25">
      <c r="K134" s="1" t="s">
        <v>130</v>
      </c>
      <c r="L134" s="16">
        <v>1.0113167727437129E-5</v>
      </c>
      <c r="R134" s="1" t="s">
        <v>46</v>
      </c>
      <c r="S134" s="16">
        <v>3.7073855598090669E-6</v>
      </c>
    </row>
    <row r="135" spans="11:19" x14ac:dyDescent="0.25">
      <c r="K135" s="1" t="s">
        <v>238</v>
      </c>
      <c r="L135" s="16">
        <v>9.8864302929825244E-6</v>
      </c>
      <c r="R135" s="1" t="s">
        <v>247</v>
      </c>
      <c r="S135" s="16">
        <v>3.5214047410193119E-6</v>
      </c>
    </row>
    <row r="136" spans="11:19" x14ac:dyDescent="0.25">
      <c r="K136" s="1" t="s">
        <v>168</v>
      </c>
      <c r="L136" s="16">
        <v>9.7094774808026158E-6</v>
      </c>
      <c r="R136" s="1" t="s">
        <v>20</v>
      </c>
      <c r="S136" s="16">
        <v>3.4113393777005325E-6</v>
      </c>
    </row>
    <row r="137" spans="11:19" x14ac:dyDescent="0.25">
      <c r="K137" s="1" t="s">
        <v>24</v>
      </c>
      <c r="L137" s="16">
        <v>9.3462696665757381E-6</v>
      </c>
      <c r="R137" s="1" t="s">
        <v>168</v>
      </c>
      <c r="S137" s="16">
        <v>3.0331172342892531E-6</v>
      </c>
    </row>
    <row r="138" spans="11:19" x14ac:dyDescent="0.25">
      <c r="K138" s="1" t="s">
        <v>222</v>
      </c>
      <c r="L138" s="16">
        <v>8.2988091111355835E-6</v>
      </c>
      <c r="R138" s="1" t="s">
        <v>210</v>
      </c>
      <c r="S138" s="16">
        <v>3.00197045235182E-6</v>
      </c>
    </row>
    <row r="139" spans="11:19" x14ac:dyDescent="0.25">
      <c r="K139" s="1" t="s">
        <v>125</v>
      </c>
      <c r="L139" s="16">
        <v>8.2075939309806225E-6</v>
      </c>
      <c r="R139" s="1" t="s">
        <v>190</v>
      </c>
      <c r="S139" s="16">
        <v>2.8112426712409739E-6</v>
      </c>
    </row>
    <row r="140" spans="11:19" x14ac:dyDescent="0.25">
      <c r="K140" s="1" t="s">
        <v>36</v>
      </c>
      <c r="L140" s="16">
        <v>7.6848439185797051E-6</v>
      </c>
      <c r="R140" s="1" t="s">
        <v>51</v>
      </c>
      <c r="S140" s="16">
        <v>2.4070493458654531E-6</v>
      </c>
    </row>
    <row r="141" spans="11:19" x14ac:dyDescent="0.25">
      <c r="K141" s="1" t="s">
        <v>108</v>
      </c>
      <c r="L141" s="16">
        <v>7.2107513381216161E-6</v>
      </c>
      <c r="R141" s="1" t="s">
        <v>196</v>
      </c>
      <c r="S141" s="16">
        <v>2.3595637485805518E-6</v>
      </c>
    </row>
    <row r="142" spans="11:19" x14ac:dyDescent="0.25">
      <c r="K142" s="1" t="s">
        <v>79</v>
      </c>
      <c r="L142" s="16">
        <v>7.0849674573205079E-6</v>
      </c>
      <c r="R142" s="1" t="s">
        <v>172</v>
      </c>
      <c r="S142" s="16">
        <v>2.110642415919281E-6</v>
      </c>
    </row>
    <row r="143" spans="11:19" x14ac:dyDescent="0.25">
      <c r="K143" s="1" t="s">
        <v>35</v>
      </c>
      <c r="L143" s="16">
        <v>6.9495025956039526E-6</v>
      </c>
      <c r="R143" s="1" t="s">
        <v>155</v>
      </c>
      <c r="S143" s="16">
        <v>1.7895488857923374E-6</v>
      </c>
    </row>
    <row r="144" spans="11:19" x14ac:dyDescent="0.25">
      <c r="K144" s="1" t="s">
        <v>42</v>
      </c>
      <c r="L144" s="16">
        <v>6.8904433319020806E-6</v>
      </c>
      <c r="R144" s="1" t="s">
        <v>66</v>
      </c>
      <c r="S144" s="16">
        <v>1.7240671629833674E-6</v>
      </c>
    </row>
    <row r="145" spans="11:19" x14ac:dyDescent="0.25">
      <c r="K145" s="1" t="s">
        <v>163</v>
      </c>
      <c r="L145" s="16">
        <v>6.2394576275504942E-6</v>
      </c>
      <c r="R145" s="1" t="s">
        <v>94</v>
      </c>
      <c r="S145" s="16">
        <v>1.6023753361445631E-6</v>
      </c>
    </row>
    <row r="146" spans="11:19" x14ac:dyDescent="0.25">
      <c r="K146" s="1" t="s">
        <v>201</v>
      </c>
      <c r="L146" s="16">
        <v>6.0575392090817271E-6</v>
      </c>
      <c r="R146" s="1" t="s">
        <v>110</v>
      </c>
      <c r="S146" s="16">
        <v>1.3895021637903998E-6</v>
      </c>
    </row>
    <row r="147" spans="11:19" x14ac:dyDescent="0.25">
      <c r="K147" s="1" t="s">
        <v>194</v>
      </c>
      <c r="L147" s="16">
        <v>5.8960204103461037E-6</v>
      </c>
      <c r="R147" s="1" t="s">
        <v>73</v>
      </c>
      <c r="S147" s="16">
        <v>1.3273590224456181E-6</v>
      </c>
    </row>
    <row r="148" spans="11:19" x14ac:dyDescent="0.25">
      <c r="K148" s="1" t="s">
        <v>223</v>
      </c>
      <c r="L148" s="16">
        <v>5.8437839769218481E-6</v>
      </c>
      <c r="R148" s="1" t="s">
        <v>137</v>
      </c>
      <c r="S148" s="16">
        <v>1.2277992751218052E-6</v>
      </c>
    </row>
    <row r="149" spans="11:19" x14ac:dyDescent="0.25">
      <c r="K149" s="1" t="s">
        <v>210</v>
      </c>
      <c r="L149" s="16">
        <v>5.7529866147717755E-6</v>
      </c>
      <c r="R149" s="1" t="s">
        <v>169</v>
      </c>
      <c r="S149" s="16">
        <v>1.0925175048348747E-6</v>
      </c>
    </row>
    <row r="150" spans="11:19" x14ac:dyDescent="0.25">
      <c r="K150" s="1" t="s">
        <v>97</v>
      </c>
      <c r="L150" s="16">
        <v>5.0986124523146165E-6</v>
      </c>
      <c r="R150" s="1" t="s">
        <v>191</v>
      </c>
      <c r="S150" s="16">
        <v>8.9776425707821317E-7</v>
      </c>
    </row>
    <row r="151" spans="11:19" x14ac:dyDescent="0.25">
      <c r="K151" s="1" t="s">
        <v>111</v>
      </c>
      <c r="L151" s="16">
        <v>4.8361630569587322E-6</v>
      </c>
      <c r="R151" s="1" t="s">
        <v>22</v>
      </c>
      <c r="S151" s="16">
        <v>8.954080811644916E-7</v>
      </c>
    </row>
    <row r="152" spans="11:19" x14ac:dyDescent="0.25">
      <c r="K152" s="1" t="s">
        <v>148</v>
      </c>
      <c r="L152" s="16">
        <v>4.8171247892964599E-6</v>
      </c>
      <c r="R152" s="1" t="s">
        <v>223</v>
      </c>
      <c r="S152" s="16">
        <v>8.5420295730384919E-7</v>
      </c>
    </row>
    <row r="153" spans="11:19" x14ac:dyDescent="0.25">
      <c r="K153" s="1" t="s">
        <v>82</v>
      </c>
      <c r="L153" s="16">
        <v>4.5288280702206268E-6</v>
      </c>
      <c r="R153" s="1" t="s">
        <v>164</v>
      </c>
      <c r="S153" s="16">
        <v>6.9631121645501999E-7</v>
      </c>
    </row>
    <row r="154" spans="11:19" x14ac:dyDescent="0.25">
      <c r="K154" s="1" t="s">
        <v>31</v>
      </c>
      <c r="L154" s="16">
        <v>3.8751518015738298E-6</v>
      </c>
      <c r="R154" s="1" t="s">
        <v>30</v>
      </c>
      <c r="S154" s="16">
        <v>6.2243911128210248E-7</v>
      </c>
    </row>
    <row r="155" spans="11:19" x14ac:dyDescent="0.25">
      <c r="K155" s="1" t="s">
        <v>140</v>
      </c>
      <c r="L155" s="16">
        <v>3.8302776887082271E-6</v>
      </c>
      <c r="R155" s="1" t="s">
        <v>79</v>
      </c>
      <c r="S155" s="16">
        <v>5.9579701821022496E-7</v>
      </c>
    </row>
    <row r="156" spans="11:19" x14ac:dyDescent="0.25">
      <c r="K156" s="1" t="s">
        <v>221</v>
      </c>
      <c r="L156" s="16">
        <v>3.7771574095044009E-6</v>
      </c>
      <c r="R156" s="1" t="s">
        <v>231</v>
      </c>
      <c r="S156" s="16">
        <v>5.9097417903767515E-7</v>
      </c>
    </row>
    <row r="157" spans="11:19" x14ac:dyDescent="0.25">
      <c r="K157" s="1" t="s">
        <v>134</v>
      </c>
      <c r="L157" s="16">
        <v>3.7223337184344941E-6</v>
      </c>
      <c r="R157" s="1" t="s">
        <v>67</v>
      </c>
      <c r="S157" s="16">
        <v>5.4264328700406576E-7</v>
      </c>
    </row>
    <row r="158" spans="11:19" x14ac:dyDescent="0.25">
      <c r="K158" s="1" t="s">
        <v>23</v>
      </c>
      <c r="L158" s="16">
        <v>3.6678520871597979E-6</v>
      </c>
      <c r="R158" s="1" t="s">
        <v>212</v>
      </c>
      <c r="S158" s="16">
        <v>5.18096459970718E-7</v>
      </c>
    </row>
    <row r="159" spans="11:19" x14ac:dyDescent="0.25">
      <c r="K159" s="1" t="s">
        <v>30</v>
      </c>
      <c r="L159" s="16">
        <v>3.5213196397203658E-6</v>
      </c>
      <c r="R159" s="1" t="s">
        <v>138</v>
      </c>
      <c r="S159" s="16">
        <v>4.0955262719961312E-7</v>
      </c>
    </row>
    <row r="160" spans="11:19" x14ac:dyDescent="0.25">
      <c r="K160" s="1" t="s">
        <v>244</v>
      </c>
      <c r="L160" s="16">
        <v>3.2769397252242125E-6</v>
      </c>
      <c r="R160" s="1" t="s">
        <v>166</v>
      </c>
      <c r="S160" s="16">
        <v>3.8985792514113264E-7</v>
      </c>
    </row>
    <row r="161" spans="11:19" x14ac:dyDescent="0.25">
      <c r="K161" s="1" t="s">
        <v>40</v>
      </c>
      <c r="L161" s="16">
        <v>3.1410226099529161E-6</v>
      </c>
      <c r="R161" s="1" t="s">
        <v>211</v>
      </c>
      <c r="S161" s="16">
        <v>3.6614574347383203E-7</v>
      </c>
    </row>
    <row r="162" spans="11:19" x14ac:dyDescent="0.25">
      <c r="K162" s="1" t="s">
        <v>215</v>
      </c>
      <c r="L162" s="16">
        <v>2.9766525476894329E-6</v>
      </c>
      <c r="R162" s="1" t="s">
        <v>134</v>
      </c>
      <c r="S162" s="16">
        <v>3.6437528360645936E-7</v>
      </c>
    </row>
    <row r="163" spans="11:19" x14ac:dyDescent="0.25">
      <c r="K163" s="1" t="s">
        <v>63</v>
      </c>
      <c r="L163" s="16">
        <v>2.9366591000897157E-6</v>
      </c>
      <c r="R163" s="1" t="s">
        <v>111</v>
      </c>
      <c r="S163" s="16">
        <v>3.3755348220217933E-7</v>
      </c>
    </row>
    <row r="164" spans="11:19" x14ac:dyDescent="0.25">
      <c r="K164" s="1" t="s">
        <v>211</v>
      </c>
      <c r="L164" s="16">
        <v>2.4202429331584967E-6</v>
      </c>
      <c r="R164" s="1" t="s">
        <v>35</v>
      </c>
      <c r="S164" s="16">
        <v>3.0162113393150929E-7</v>
      </c>
    </row>
    <row r="165" spans="11:19" x14ac:dyDescent="0.25">
      <c r="K165" s="1" t="s">
        <v>47</v>
      </c>
      <c r="L165" s="16">
        <v>2.3074458460587606E-6</v>
      </c>
      <c r="R165" s="1" t="s">
        <v>25</v>
      </c>
      <c r="S165" s="16">
        <v>3.0048830585095726E-7</v>
      </c>
    </row>
    <row r="166" spans="11:19" x14ac:dyDescent="0.25">
      <c r="K166" s="1" t="s">
        <v>51</v>
      </c>
      <c r="L166" s="16">
        <v>2.2937680456569977E-6</v>
      </c>
      <c r="R166" s="1" t="s">
        <v>70</v>
      </c>
      <c r="S166" s="16">
        <v>2.9159740250194806E-7</v>
      </c>
    </row>
    <row r="167" spans="11:19" x14ac:dyDescent="0.25">
      <c r="K167" s="1" t="s">
        <v>212</v>
      </c>
      <c r="L167" s="16">
        <v>2.2449889414380212E-6</v>
      </c>
      <c r="R167" s="1" t="s">
        <v>18</v>
      </c>
      <c r="S167" s="16">
        <v>2.8794599542209596E-7</v>
      </c>
    </row>
    <row r="168" spans="11:19" x14ac:dyDescent="0.25">
      <c r="K168" s="1" t="s">
        <v>144</v>
      </c>
      <c r="L168" s="16">
        <v>2.1800067631613669E-6</v>
      </c>
      <c r="R168" s="1" t="s">
        <v>148</v>
      </c>
      <c r="S168" s="16">
        <v>2.3456596483439293E-7</v>
      </c>
    </row>
    <row r="169" spans="11:19" x14ac:dyDescent="0.25">
      <c r="K169" s="1" t="s">
        <v>80</v>
      </c>
      <c r="L169" s="16">
        <v>2.1502131254282216E-6</v>
      </c>
      <c r="R169" s="1" t="s">
        <v>215</v>
      </c>
      <c r="S169" s="16">
        <v>2.2113975564467788E-7</v>
      </c>
    </row>
    <row r="170" spans="11:19" x14ac:dyDescent="0.25">
      <c r="K170" s="1" t="s">
        <v>61</v>
      </c>
      <c r="L170" s="16">
        <v>2.100481304329968E-6</v>
      </c>
      <c r="R170" s="1" t="s">
        <v>229</v>
      </c>
      <c r="S170" s="16">
        <v>2.0094453260113566E-7</v>
      </c>
    </row>
    <row r="171" spans="11:19" x14ac:dyDescent="0.25">
      <c r="K171" s="1" t="s">
        <v>159</v>
      </c>
      <c r="L171" s="16">
        <v>2.0412383843622107E-6</v>
      </c>
      <c r="R171" s="1" t="s">
        <v>161</v>
      </c>
      <c r="S171" s="16">
        <v>1.4948937792938817E-7</v>
      </c>
    </row>
    <row r="172" spans="11:19" x14ac:dyDescent="0.25">
      <c r="K172" s="1" t="s">
        <v>227</v>
      </c>
      <c r="L172" s="16">
        <v>2.0346933341867449E-6</v>
      </c>
      <c r="R172" s="1" t="s">
        <v>55</v>
      </c>
      <c r="S172" s="16">
        <v>1.4673784368438114E-7</v>
      </c>
    </row>
    <row r="173" spans="11:19" x14ac:dyDescent="0.25">
      <c r="K173" s="1" t="s">
        <v>110</v>
      </c>
      <c r="L173" s="16">
        <v>2.0054047511847822E-6</v>
      </c>
      <c r="R173" s="1" t="s">
        <v>63</v>
      </c>
      <c r="S173" s="16">
        <v>1.4076354001162275E-7</v>
      </c>
    </row>
    <row r="174" spans="11:19" x14ac:dyDescent="0.25">
      <c r="K174" s="1" t="s">
        <v>245</v>
      </c>
      <c r="L174" s="16">
        <v>1.9518069656896558E-6</v>
      </c>
      <c r="R174" s="1" t="s">
        <v>108</v>
      </c>
      <c r="S174" s="16">
        <v>1.3766057613880639E-7</v>
      </c>
    </row>
    <row r="175" spans="11:19" x14ac:dyDescent="0.25">
      <c r="K175" s="1" t="s">
        <v>55</v>
      </c>
      <c r="L175" s="16">
        <v>1.8754725344780035E-6</v>
      </c>
      <c r="R175" s="1" t="s">
        <v>209</v>
      </c>
      <c r="S175" s="16">
        <v>1.2635625644427336E-7</v>
      </c>
    </row>
    <row r="176" spans="11:19" x14ac:dyDescent="0.25">
      <c r="K176" s="1" t="s">
        <v>185</v>
      </c>
      <c r="L176" s="16">
        <v>1.8405801396632338E-6</v>
      </c>
      <c r="R176" s="1" t="s">
        <v>62</v>
      </c>
      <c r="S176" s="16">
        <v>1.1434508397562387E-7</v>
      </c>
    </row>
    <row r="177" spans="11:19" x14ac:dyDescent="0.25">
      <c r="K177" s="1" t="s">
        <v>169</v>
      </c>
      <c r="L177" s="16">
        <v>1.6115424104784237E-6</v>
      </c>
      <c r="R177" s="1" t="s">
        <v>221</v>
      </c>
      <c r="S177" s="16">
        <v>1.0861305375840069E-7</v>
      </c>
    </row>
    <row r="178" spans="11:19" x14ac:dyDescent="0.25">
      <c r="K178" s="1" t="s">
        <v>188</v>
      </c>
      <c r="L178" s="16">
        <v>1.5707844936719616E-6</v>
      </c>
      <c r="R178" s="1" t="s">
        <v>102</v>
      </c>
      <c r="S178" s="16">
        <v>1.0678135994072789E-7</v>
      </c>
    </row>
    <row r="179" spans="11:19" x14ac:dyDescent="0.25">
      <c r="K179" s="1" t="s">
        <v>220</v>
      </c>
      <c r="L179" s="16">
        <v>1.4537242855003769E-6</v>
      </c>
      <c r="R179" s="1" t="s">
        <v>176</v>
      </c>
      <c r="S179" s="16">
        <v>1.0021335318462497E-7</v>
      </c>
    </row>
    <row r="180" spans="11:19" x14ac:dyDescent="0.25">
      <c r="K180" s="1" t="s">
        <v>20</v>
      </c>
      <c r="L180" s="16">
        <v>1.211034008650363E-6</v>
      </c>
      <c r="R180" s="1" t="s">
        <v>240</v>
      </c>
      <c r="S180" s="16">
        <v>9.9216304732999308E-8</v>
      </c>
    </row>
    <row r="181" spans="11:19" x14ac:dyDescent="0.25">
      <c r="K181" s="1" t="s">
        <v>67</v>
      </c>
      <c r="L181" s="16">
        <v>1.1755722794113509E-6</v>
      </c>
      <c r="R181" s="1" t="s">
        <v>80</v>
      </c>
      <c r="S181" s="16">
        <v>9.3275280381056197E-8</v>
      </c>
    </row>
    <row r="182" spans="11:19" x14ac:dyDescent="0.25">
      <c r="K182" s="1" t="s">
        <v>45</v>
      </c>
      <c r="L182" s="16">
        <v>1.1714974060120341E-6</v>
      </c>
      <c r="R182" s="1" t="s">
        <v>104</v>
      </c>
      <c r="S182" s="16">
        <v>9.1428943662224674E-8</v>
      </c>
    </row>
    <row r="183" spans="11:19" x14ac:dyDescent="0.25">
      <c r="K183" s="1" t="s">
        <v>162</v>
      </c>
      <c r="L183" s="16">
        <v>1.1437125086870024E-6</v>
      </c>
      <c r="R183" s="1" t="s">
        <v>39</v>
      </c>
      <c r="S183" s="16">
        <v>8.4705189684706257E-8</v>
      </c>
    </row>
    <row r="184" spans="11:19" x14ac:dyDescent="0.25">
      <c r="K184" s="1" t="s">
        <v>156</v>
      </c>
      <c r="L184" s="16">
        <v>1.023768897141028E-6</v>
      </c>
      <c r="R184" s="1" t="s">
        <v>216</v>
      </c>
      <c r="S184" s="16">
        <v>8.4441617463849267E-8</v>
      </c>
    </row>
    <row r="185" spans="11:19" x14ac:dyDescent="0.25">
      <c r="K185" s="1" t="s">
        <v>39</v>
      </c>
      <c r="L185" s="16">
        <v>9.7486582494257941E-7</v>
      </c>
      <c r="R185" s="1" t="s">
        <v>50</v>
      </c>
      <c r="S185" s="16">
        <v>8.063978785391212E-8</v>
      </c>
    </row>
    <row r="186" spans="11:19" x14ac:dyDescent="0.25">
      <c r="K186" s="1" t="s">
        <v>56</v>
      </c>
      <c r="L186" s="16">
        <v>9.6882812520161989E-7</v>
      </c>
      <c r="R186" s="1" t="s">
        <v>105</v>
      </c>
      <c r="S186" s="16">
        <v>7.0794433583920798E-8</v>
      </c>
    </row>
    <row r="187" spans="11:19" x14ac:dyDescent="0.25">
      <c r="K187" s="1" t="s">
        <v>60</v>
      </c>
      <c r="L187" s="16">
        <v>8.5366875938194181E-7</v>
      </c>
      <c r="R187" s="1" t="s">
        <v>227</v>
      </c>
      <c r="S187" s="16">
        <v>6.9251604270924596E-8</v>
      </c>
    </row>
    <row r="188" spans="11:19" x14ac:dyDescent="0.25">
      <c r="K188" s="1" t="s">
        <v>98</v>
      </c>
      <c r="L188" s="16">
        <v>8.4581745401537091E-7</v>
      </c>
      <c r="R188" s="1" t="s">
        <v>42</v>
      </c>
      <c r="S188" s="16">
        <v>6.6058120645490689E-8</v>
      </c>
    </row>
    <row r="189" spans="11:19" x14ac:dyDescent="0.25">
      <c r="K189" s="1" t="s">
        <v>112</v>
      </c>
      <c r="L189" s="16">
        <v>7.7194401676657358E-7</v>
      </c>
      <c r="R189" s="1" t="s">
        <v>201</v>
      </c>
      <c r="S189" s="16">
        <v>6.5656106450042147E-8</v>
      </c>
    </row>
    <row r="190" spans="11:19" x14ac:dyDescent="0.25">
      <c r="K190" s="1" t="s">
        <v>241</v>
      </c>
      <c r="L190" s="16">
        <v>7.6568822520987601E-7</v>
      </c>
      <c r="R190" s="1" t="s">
        <v>95</v>
      </c>
      <c r="S190" s="16">
        <v>6.4131913556702502E-8</v>
      </c>
    </row>
    <row r="191" spans="11:19" x14ac:dyDescent="0.25">
      <c r="K191" s="1" t="s">
        <v>48</v>
      </c>
      <c r="L191" s="16">
        <v>6.7536148224113308E-7</v>
      </c>
      <c r="R191" s="1" t="s">
        <v>226</v>
      </c>
      <c r="S191" s="16">
        <v>6.3487625905718747E-8</v>
      </c>
    </row>
    <row r="192" spans="11:19" x14ac:dyDescent="0.25">
      <c r="K192" s="1" t="s">
        <v>43</v>
      </c>
      <c r="L192" s="16">
        <v>5.3482082047618951E-7</v>
      </c>
      <c r="R192" s="1" t="s">
        <v>139</v>
      </c>
      <c r="S192" s="16">
        <v>6.282869535357628E-8</v>
      </c>
    </row>
    <row r="193" spans="11:19" x14ac:dyDescent="0.25">
      <c r="K193" s="1" t="s">
        <v>145</v>
      </c>
      <c r="L193" s="16">
        <v>4.4863093489649953E-7</v>
      </c>
      <c r="R193" s="1" t="s">
        <v>82</v>
      </c>
      <c r="S193" s="16">
        <v>5.3491849105642388E-8</v>
      </c>
    </row>
    <row r="194" spans="11:19" x14ac:dyDescent="0.25">
      <c r="K194" s="1" t="s">
        <v>216</v>
      </c>
      <c r="L194" s="16">
        <v>4.2091261296785111E-7</v>
      </c>
      <c r="R194" s="1" t="s">
        <v>188</v>
      </c>
      <c r="S194" s="16">
        <v>5.1191582450890493E-8</v>
      </c>
    </row>
    <row r="195" spans="11:19" x14ac:dyDescent="0.25">
      <c r="K195" s="1" t="s">
        <v>228</v>
      </c>
      <c r="L195" s="16">
        <v>2.3474943905382432E-7</v>
      </c>
      <c r="R195" s="1" t="s">
        <v>48</v>
      </c>
      <c r="S195" s="16">
        <v>4.7920890801165148E-8</v>
      </c>
    </row>
    <row r="196" spans="11:19" x14ac:dyDescent="0.25">
      <c r="K196" s="1" t="s">
        <v>69</v>
      </c>
      <c r="L196" s="16">
        <v>2.0606462602595765E-7</v>
      </c>
      <c r="R196" s="1" t="s">
        <v>91</v>
      </c>
      <c r="S196" s="16">
        <v>4.5925462725081184E-8</v>
      </c>
    </row>
    <row r="197" spans="11:19" x14ac:dyDescent="0.25">
      <c r="K197" s="1" t="s">
        <v>87</v>
      </c>
      <c r="L197" s="16">
        <v>2.0495580132067878E-7</v>
      </c>
      <c r="R197" s="1" t="s">
        <v>192</v>
      </c>
      <c r="S197" s="16">
        <v>4.5747085565511307E-8</v>
      </c>
    </row>
    <row r="198" spans="11:19" x14ac:dyDescent="0.25">
      <c r="K198" s="1" t="s">
        <v>226</v>
      </c>
      <c r="L198" s="16">
        <v>1.7250833054549928E-7</v>
      </c>
      <c r="R198" s="1" t="s">
        <v>112</v>
      </c>
      <c r="S198" s="16">
        <v>4.2751946692136443E-8</v>
      </c>
    </row>
    <row r="199" spans="11:19" x14ac:dyDescent="0.25">
      <c r="K199" s="1" t="s">
        <v>240</v>
      </c>
      <c r="L199" s="16">
        <v>1.6312808676543821E-7</v>
      </c>
      <c r="R199" s="1" t="s">
        <v>61</v>
      </c>
      <c r="S199" s="16">
        <v>3.2548506930172755E-8</v>
      </c>
    </row>
    <row r="200" spans="11:19" x14ac:dyDescent="0.25">
      <c r="K200" s="1" t="s">
        <v>192</v>
      </c>
      <c r="L200" s="16">
        <v>1.5215462487882735E-7</v>
      </c>
      <c r="R200" s="1" t="s">
        <v>98</v>
      </c>
      <c r="S200" s="16">
        <v>2.934437392207796E-8</v>
      </c>
    </row>
    <row r="201" spans="11:19" x14ac:dyDescent="0.25">
      <c r="K201" s="1" t="s">
        <v>86</v>
      </c>
      <c r="L201" s="16">
        <v>1.4676431347511137E-7</v>
      </c>
      <c r="R201" s="1" t="s">
        <v>157</v>
      </c>
      <c r="S201" s="16">
        <v>2.4029000801462042E-8</v>
      </c>
    </row>
    <row r="202" spans="11:19" x14ac:dyDescent="0.25">
      <c r="K202" s="1" t="s">
        <v>105</v>
      </c>
      <c r="L202" s="16">
        <v>1.3025820657872391E-7</v>
      </c>
      <c r="R202" s="1" t="s">
        <v>60</v>
      </c>
      <c r="S202" s="16">
        <v>2.3063900497819033E-8</v>
      </c>
    </row>
    <row r="203" spans="11:19" x14ac:dyDescent="0.25">
      <c r="K203" s="1" t="s">
        <v>208</v>
      </c>
      <c r="L203" s="16">
        <v>1.2681235589006222E-7</v>
      </c>
      <c r="R203" s="1" t="s">
        <v>206</v>
      </c>
      <c r="S203" s="16">
        <v>2.2291820254904624E-8</v>
      </c>
    </row>
    <row r="204" spans="11:19" x14ac:dyDescent="0.25">
      <c r="K204" s="1" t="s">
        <v>50</v>
      </c>
      <c r="L204" s="16">
        <v>1.2338257512466544E-7</v>
      </c>
      <c r="R204" s="1" t="s">
        <v>140</v>
      </c>
      <c r="S204" s="16">
        <v>2.1848539701645146E-8</v>
      </c>
    </row>
    <row r="205" spans="11:19" x14ac:dyDescent="0.25">
      <c r="K205" s="1" t="s">
        <v>207</v>
      </c>
      <c r="L205" s="16">
        <v>1.2015022484509469E-7</v>
      </c>
      <c r="R205" s="1" t="s">
        <v>181</v>
      </c>
      <c r="S205" s="16">
        <v>1.9958274279337454E-8</v>
      </c>
    </row>
    <row r="206" spans="11:19" x14ac:dyDescent="0.25">
      <c r="K206" s="1" t="s">
        <v>206</v>
      </c>
      <c r="L206" s="16">
        <v>1.051707606588738E-7</v>
      </c>
      <c r="R206" s="1" t="s">
        <v>113</v>
      </c>
      <c r="S206" s="16">
        <v>1.9488370269425756E-8</v>
      </c>
    </row>
    <row r="207" spans="11:19" x14ac:dyDescent="0.25">
      <c r="K207" s="1" t="s">
        <v>131</v>
      </c>
      <c r="L207" s="16">
        <v>8.1407935556717102E-8</v>
      </c>
      <c r="R207" s="1" t="s">
        <v>44</v>
      </c>
      <c r="S207" s="16">
        <v>1.5110142822968017E-8</v>
      </c>
    </row>
    <row r="208" spans="11:19" x14ac:dyDescent="0.25">
      <c r="K208" s="1" t="s">
        <v>62</v>
      </c>
      <c r="L208" s="16">
        <v>7.4697594741954852E-8</v>
      </c>
      <c r="R208" s="1" t="s">
        <v>207</v>
      </c>
      <c r="S208" s="16">
        <v>1.4408614740181992E-8</v>
      </c>
    </row>
    <row r="209" spans="11:19" x14ac:dyDescent="0.25">
      <c r="K209" s="1" t="s">
        <v>104</v>
      </c>
      <c r="L209" s="16">
        <v>7.2755429730224152E-8</v>
      </c>
      <c r="R209" s="1" t="s">
        <v>242</v>
      </c>
      <c r="S209" s="16">
        <v>1.3627216287439307E-8</v>
      </c>
    </row>
    <row r="210" spans="11:19" x14ac:dyDescent="0.25">
      <c r="K210" s="1" t="s">
        <v>102</v>
      </c>
      <c r="L210" s="16">
        <v>5.4137275776162622E-8</v>
      </c>
      <c r="R210" s="1" t="s">
        <v>205</v>
      </c>
      <c r="S210" s="16">
        <v>1.2946986969975062E-8</v>
      </c>
    </row>
    <row r="211" spans="11:19" x14ac:dyDescent="0.25">
      <c r="K211" s="1" t="s">
        <v>27</v>
      </c>
      <c r="L211" s="16">
        <v>5.3834242937452869E-8</v>
      </c>
      <c r="R211" s="1" t="s">
        <v>36</v>
      </c>
      <c r="S211" s="16">
        <v>1.2210848393541151E-8</v>
      </c>
    </row>
    <row r="212" spans="11:19" x14ac:dyDescent="0.25">
      <c r="K212" s="1" t="s">
        <v>151</v>
      </c>
      <c r="L212" s="16">
        <v>4.4837381612426095E-8</v>
      </c>
      <c r="R212" s="1" t="s">
        <v>49</v>
      </c>
      <c r="S212" s="16">
        <v>1.1898022777877555E-8</v>
      </c>
    </row>
    <row r="213" spans="11:19" x14ac:dyDescent="0.25">
      <c r="K213" s="1" t="s">
        <v>138</v>
      </c>
      <c r="L213" s="16">
        <v>3.4915351848005144E-8</v>
      </c>
      <c r="R213" s="1" t="s">
        <v>151</v>
      </c>
      <c r="S213" s="16">
        <v>1.0376492230203126E-8</v>
      </c>
    </row>
    <row r="214" spans="11:19" x14ac:dyDescent="0.25">
      <c r="K214" s="1" t="s">
        <v>191</v>
      </c>
      <c r="L214" s="16">
        <v>3.140063005963669E-8</v>
      </c>
      <c r="R214" s="1" t="s">
        <v>31</v>
      </c>
      <c r="S214" s="16">
        <v>9.2050601375054026E-9</v>
      </c>
    </row>
    <row r="215" spans="11:19" x14ac:dyDescent="0.25">
      <c r="K215" s="1" t="s">
        <v>71</v>
      </c>
      <c r="L215" s="16">
        <v>3.0599429599714682E-8</v>
      </c>
      <c r="R215" s="1" t="s">
        <v>109</v>
      </c>
      <c r="S215" s="16">
        <v>8.6566169304696508E-9</v>
      </c>
    </row>
    <row r="216" spans="11:19" x14ac:dyDescent="0.25">
      <c r="K216" s="1" t="s">
        <v>189</v>
      </c>
      <c r="L216" s="16">
        <v>2.529865062561751E-8</v>
      </c>
      <c r="R216" s="1" t="s">
        <v>222</v>
      </c>
      <c r="S216" s="16">
        <v>8.2692456361798361E-9</v>
      </c>
    </row>
    <row r="217" spans="11:19" x14ac:dyDescent="0.25">
      <c r="K217" s="1" t="s">
        <v>95</v>
      </c>
      <c r="L217" s="16">
        <v>2.4359707966281978E-8</v>
      </c>
      <c r="R217" s="1" t="s">
        <v>241</v>
      </c>
      <c r="S217" s="16">
        <v>8.1254789702578414E-9</v>
      </c>
    </row>
    <row r="218" spans="11:19" x14ac:dyDescent="0.25">
      <c r="K218" s="1" t="s">
        <v>113</v>
      </c>
      <c r="L218" s="16">
        <v>2.3556211803036412E-8</v>
      </c>
      <c r="R218" s="1" t="s">
        <v>45</v>
      </c>
      <c r="S218" s="16">
        <v>4.3116688048271873E-9</v>
      </c>
    </row>
    <row r="219" spans="11:19" x14ac:dyDescent="0.25">
      <c r="K219" s="1" t="s">
        <v>109</v>
      </c>
      <c r="L219" s="16">
        <v>2.3074114105089074E-8</v>
      </c>
      <c r="R219" s="1" t="s">
        <v>56</v>
      </c>
      <c r="S219" s="16">
        <v>3.7672191162892686E-9</v>
      </c>
    </row>
    <row r="220" spans="11:19" x14ac:dyDescent="0.25">
      <c r="K220" s="1" t="s">
        <v>91</v>
      </c>
      <c r="L220" s="16">
        <v>1.6040079121705041E-8</v>
      </c>
      <c r="R220" s="1" t="s">
        <v>171</v>
      </c>
      <c r="S220" s="16">
        <v>2.8433851704572003E-9</v>
      </c>
    </row>
    <row r="221" spans="11:19" x14ac:dyDescent="0.25">
      <c r="K221" s="1" t="s">
        <v>90</v>
      </c>
      <c r="L221" s="16">
        <v>7.2865623489754967E-9</v>
      </c>
      <c r="R221" s="1" t="s">
        <v>26</v>
      </c>
      <c r="S221" s="16">
        <v>1.1594515372042236E-9</v>
      </c>
    </row>
    <row r="222" spans="11:19" x14ac:dyDescent="0.25">
      <c r="K222" s="1" t="s">
        <v>66</v>
      </c>
      <c r="L222" s="16">
        <v>5.9091403548402418E-9</v>
      </c>
      <c r="R222" s="1" t="s">
        <v>156</v>
      </c>
      <c r="S222" s="16">
        <v>1.0223407354452855E-9</v>
      </c>
    </row>
    <row r="223" spans="11:19" x14ac:dyDescent="0.25">
      <c r="K223" s="1" t="s">
        <v>19</v>
      </c>
      <c r="L223" s="16">
        <v>4.3870890513207859E-9</v>
      </c>
      <c r="R223" s="1" t="s">
        <v>71</v>
      </c>
      <c r="S223" s="16">
        <v>8.9454814351462483E-10</v>
      </c>
    </row>
    <row r="224" spans="11:19" x14ac:dyDescent="0.25">
      <c r="K224" s="1" t="s">
        <v>25</v>
      </c>
      <c r="L224" s="16">
        <v>3.2828557526890234E-9</v>
      </c>
      <c r="R224" s="1" t="s">
        <v>69</v>
      </c>
      <c r="S224" s="16">
        <v>2.622410480243766E-10</v>
      </c>
    </row>
    <row r="225" spans="11:19" x14ac:dyDescent="0.25">
      <c r="K225" s="1" t="s">
        <v>181</v>
      </c>
      <c r="L225" s="16">
        <v>3.0739467502451767E-9</v>
      </c>
      <c r="R225" s="1" t="s">
        <v>208</v>
      </c>
      <c r="S225" s="16">
        <v>1.5574722141549272E-10</v>
      </c>
    </row>
    <row r="226" spans="11:19" x14ac:dyDescent="0.25">
      <c r="K226" s="1" t="s">
        <v>157</v>
      </c>
      <c r="L226" s="16">
        <v>4.798019946237803E-10</v>
      </c>
      <c r="R226" s="1" t="s">
        <v>0</v>
      </c>
      <c r="S226" s="16">
        <v>1</v>
      </c>
    </row>
    <row r="227" spans="11:19" x14ac:dyDescent="0.25">
      <c r="K227" s="1" t="s">
        <v>209</v>
      </c>
      <c r="L227" s="16">
        <v>3.9026956500498879E-10</v>
      </c>
    </row>
    <row r="228" spans="11:19" x14ac:dyDescent="0.25">
      <c r="K228" s="1" t="s">
        <v>26</v>
      </c>
      <c r="L228" s="16">
        <v>2.2957033235587577E-10</v>
      </c>
    </row>
    <row r="229" spans="11:19" x14ac:dyDescent="0.25">
      <c r="K229" s="1" t="s">
        <v>205</v>
      </c>
      <c r="L229" s="16">
        <v>1.836562658847006E-10</v>
      </c>
    </row>
    <row r="230" spans="11:19" x14ac:dyDescent="0.25">
      <c r="K230" s="1" t="s">
        <v>0</v>
      </c>
      <c r="L230" s="16">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6731DFDC-847F-481C-BF00-8CA6109D43D6}">
  <ds:schemaRefs>
    <ds:schemaRef ds:uri="http://schemas.microsoft.com/DataMashup"/>
  </ds:schemaRefs>
</ds:datastoreItem>
</file>

<file path=customXml/itemProps2.xml><?xml version="1.0" encoding="utf-8"?>
<ds:datastoreItem xmlns:ds="http://schemas.openxmlformats.org/officeDocument/2006/customXml" ds:itemID="{625E6191-D984-4FC8-BD54-AB552D712EE9}">
  <ds:schemaRefs/>
</ds:datastoreItem>
</file>

<file path=customXml/itemProps3.xml><?xml version="1.0" encoding="utf-8"?>
<ds:datastoreItem xmlns:ds="http://schemas.openxmlformats.org/officeDocument/2006/customXml" ds:itemID="{7267D9F6-6833-43B6-9CFC-6BB79FA49EE4}">
  <ds:schemaRefs/>
</ds:datastoreItem>
</file>

<file path=customXml/itemProps4.xml><?xml version="1.0" encoding="utf-8"?>
<ds:datastoreItem xmlns:ds="http://schemas.openxmlformats.org/officeDocument/2006/customXml" ds:itemID="{B36521C0-5B3B-40C0-9F46-2DB4B089417A}">
  <ds:schemaRefs/>
</ds:datastoreItem>
</file>

<file path=customXml/itemProps5.xml><?xml version="1.0" encoding="utf-8"?>
<ds:datastoreItem xmlns:ds="http://schemas.openxmlformats.org/officeDocument/2006/customXml" ds:itemID="{D5DC401E-33D4-47B0-9297-74CCD44684CF}">
  <ds:schemaRefs/>
</ds:datastoreItem>
</file>

<file path=customXml/itemProps6.xml><?xml version="1.0" encoding="utf-8"?>
<ds:datastoreItem xmlns:ds="http://schemas.openxmlformats.org/officeDocument/2006/customXml" ds:itemID="{22F58BD4-1E3E-439E-8976-9877F4AFA548}">
  <ds:schemaRefs/>
</ds:datastoreItem>
</file>

<file path=customXml/itemProps7.xml><?xml version="1.0" encoding="utf-8"?>
<ds:datastoreItem xmlns:ds="http://schemas.openxmlformats.org/officeDocument/2006/customXml" ds:itemID="{2BC3107F-7A90-469F-89EE-F12080B12444}">
  <ds:schemaRefs/>
</ds:datastoreItem>
</file>

<file path=customXml/itemProps8.xml><?xml version="1.0" encoding="utf-8"?>
<ds:datastoreItem xmlns:ds="http://schemas.openxmlformats.org/officeDocument/2006/customXml" ds:itemID="{B9BB1169-AA61-4DB2-9549-FAD75B65FC1A}">
  <ds:schemaRefs/>
</ds:datastoreItem>
</file>

<file path=customXml/itemProps9.xml><?xml version="1.0" encoding="utf-8"?>
<ds:datastoreItem xmlns:ds="http://schemas.openxmlformats.org/officeDocument/2006/customXml" ds:itemID="{EE0AAAAE-D655-4280-9001-9E3A65609079}">
  <ds:schemaRefs/>
</ds:datastoreItem>
</file>

<file path=customXml/itemProps10.xml><?xml version="1.0" encoding="utf-8"?>
<ds:datastoreItem xmlns:ds="http://schemas.openxmlformats.org/officeDocument/2006/customXml" ds:itemID="{3BE43773-5721-4536-B879-B2897AB93F3B}">
  <ds:schemaRefs/>
</ds:datastoreItem>
</file>

<file path=customXml/itemProps11.xml><?xml version="1.0" encoding="utf-8"?>
<ds:datastoreItem xmlns:ds="http://schemas.openxmlformats.org/officeDocument/2006/customXml" ds:itemID="{0DA6B248-FB2E-4CFF-B2F7-191A35B46FDA}">
  <ds:schemaRefs/>
</ds:datastoreItem>
</file>

<file path=customXml/itemProps12.xml><?xml version="1.0" encoding="utf-8"?>
<ds:datastoreItem xmlns:ds="http://schemas.openxmlformats.org/officeDocument/2006/customXml" ds:itemID="{DD66477F-B8B0-4E13-9827-FBA1B862DCC8}">
  <ds:schemaRefs/>
</ds:datastoreItem>
</file>

<file path=customXml/itemProps13.xml><?xml version="1.0" encoding="utf-8"?>
<ds:datastoreItem xmlns:ds="http://schemas.openxmlformats.org/officeDocument/2006/customXml" ds:itemID="{1A322B3B-BD73-4614-BE2D-98C2261059E8}">
  <ds:schemaRefs/>
</ds:datastoreItem>
</file>

<file path=customXml/itemProps14.xml><?xml version="1.0" encoding="utf-8"?>
<ds:datastoreItem xmlns:ds="http://schemas.openxmlformats.org/officeDocument/2006/customXml" ds:itemID="{630094D5-3930-4926-8CE7-E3A4DE72F449}">
  <ds:schemaRefs/>
</ds:datastoreItem>
</file>

<file path=customXml/itemProps15.xml><?xml version="1.0" encoding="utf-8"?>
<ds:datastoreItem xmlns:ds="http://schemas.openxmlformats.org/officeDocument/2006/customXml" ds:itemID="{61EDB7B9-071E-49EF-81E8-E32BDB65EE06}">
  <ds:schemaRefs/>
</ds:datastoreItem>
</file>

<file path=customXml/itemProps16.xml><?xml version="1.0" encoding="utf-8"?>
<ds:datastoreItem xmlns:ds="http://schemas.openxmlformats.org/officeDocument/2006/customXml" ds:itemID="{FE9C2288-DEED-4084-B7F1-4CB1DDC7AB83}">
  <ds:schemaRefs/>
</ds:datastoreItem>
</file>

<file path=customXml/itemProps17.xml><?xml version="1.0" encoding="utf-8"?>
<ds:datastoreItem xmlns:ds="http://schemas.openxmlformats.org/officeDocument/2006/customXml" ds:itemID="{01032EC8-3741-44D2-B78B-3AB7BEEB555C}">
  <ds:schemaRefs/>
</ds:datastoreItem>
</file>

<file path=customXml/itemProps18.xml><?xml version="1.0" encoding="utf-8"?>
<ds:datastoreItem xmlns:ds="http://schemas.openxmlformats.org/officeDocument/2006/customXml" ds:itemID="{951EDD9B-D994-40C9-A45A-2473CAE0727F}">
  <ds:schemaRefs/>
</ds:datastoreItem>
</file>

<file path=customXml/itemProps19.xml><?xml version="1.0" encoding="utf-8"?>
<ds:datastoreItem xmlns:ds="http://schemas.openxmlformats.org/officeDocument/2006/customXml" ds:itemID="{BEC2145C-C84A-4CDC-BEFE-2C1757FE0131}">
  <ds:schemaRefs/>
</ds:datastoreItem>
</file>

<file path=customXml/itemProps20.xml><?xml version="1.0" encoding="utf-8"?>
<ds:datastoreItem xmlns:ds="http://schemas.openxmlformats.org/officeDocument/2006/customXml" ds:itemID="{12179CE8-1DD4-4B38-8028-2EADC428B2A0}">
  <ds:schemaRefs/>
</ds:datastoreItem>
</file>

<file path=customXml/itemProps21.xml><?xml version="1.0" encoding="utf-8"?>
<ds:datastoreItem xmlns:ds="http://schemas.openxmlformats.org/officeDocument/2006/customXml" ds:itemID="{AD016A23-175F-47BA-B8D5-15BF8C26FB48}">
  <ds:schemaRefs/>
</ds:datastoreItem>
</file>

<file path=customXml/itemProps22.xml><?xml version="1.0" encoding="utf-8"?>
<ds:datastoreItem xmlns:ds="http://schemas.openxmlformats.org/officeDocument/2006/customXml" ds:itemID="{7E49932C-5F84-4DCC-B202-F8584615AA75}">
  <ds:schemaRefs/>
</ds:datastoreItem>
</file>

<file path=customXml/itemProps23.xml><?xml version="1.0" encoding="utf-8"?>
<ds:datastoreItem xmlns:ds="http://schemas.openxmlformats.org/officeDocument/2006/customXml" ds:itemID="{077BEBC7-DA48-4674-97FB-07E7474F3CFD}">
  <ds:schemaRefs/>
</ds:datastoreItem>
</file>

<file path=customXml/itemProps24.xml><?xml version="1.0" encoding="utf-8"?>
<ds:datastoreItem xmlns:ds="http://schemas.openxmlformats.org/officeDocument/2006/customXml" ds:itemID="{1BC39135-8E6A-4356-9B34-E7CA300D40BE}">
  <ds:schemaRefs/>
</ds:datastoreItem>
</file>

<file path=customXml/itemProps25.xml><?xml version="1.0" encoding="utf-8"?>
<ds:datastoreItem xmlns:ds="http://schemas.openxmlformats.org/officeDocument/2006/customXml" ds:itemID="{E6BC4F1B-1CDB-4D0D-866F-54E7F476204C}">
  <ds:schemaRefs/>
</ds:datastoreItem>
</file>

<file path=customXml/itemProps26.xml><?xml version="1.0" encoding="utf-8"?>
<ds:datastoreItem xmlns:ds="http://schemas.openxmlformats.org/officeDocument/2006/customXml" ds:itemID="{A1EF96C7-658F-4D3D-B098-41E1DD9450D2}">
  <ds:schemaRefs/>
</ds:datastoreItem>
</file>

<file path=customXml/itemProps27.xml><?xml version="1.0" encoding="utf-8"?>
<ds:datastoreItem xmlns:ds="http://schemas.openxmlformats.org/officeDocument/2006/customXml" ds:itemID="{D775F710-063A-449D-BD9E-39E90DF355AB}">
  <ds:schemaRefs/>
</ds:datastoreItem>
</file>

<file path=customXml/itemProps28.xml><?xml version="1.0" encoding="utf-8"?>
<ds:datastoreItem xmlns:ds="http://schemas.openxmlformats.org/officeDocument/2006/customXml" ds:itemID="{462ED2A3-5405-4C70-AEB7-319E696C5635}">
  <ds:schemaRefs/>
</ds:datastoreItem>
</file>

<file path=customXml/itemProps29.xml><?xml version="1.0" encoding="utf-8"?>
<ds:datastoreItem xmlns:ds="http://schemas.openxmlformats.org/officeDocument/2006/customXml" ds:itemID="{7A9FE93F-387D-48C7-A73C-E83CA7DE0C18}">
  <ds:schemaRefs/>
</ds:datastoreItem>
</file>

<file path=customXml/itemProps30.xml><?xml version="1.0" encoding="utf-8"?>
<ds:datastoreItem xmlns:ds="http://schemas.openxmlformats.org/officeDocument/2006/customXml" ds:itemID="{AADE4F0F-6ADC-43E9-A991-B189E909BCCE}">
  <ds:schemaRefs/>
</ds:datastoreItem>
</file>

<file path=customXml/itemProps31.xml><?xml version="1.0" encoding="utf-8"?>
<ds:datastoreItem xmlns:ds="http://schemas.openxmlformats.org/officeDocument/2006/customXml" ds:itemID="{8EB7FF6E-ACEC-4A18-8F55-C94291625BEE}">
  <ds:schemaRefs/>
</ds:datastoreItem>
</file>

<file path=customXml/itemProps32.xml><?xml version="1.0" encoding="utf-8"?>
<ds:datastoreItem xmlns:ds="http://schemas.openxmlformats.org/officeDocument/2006/customXml" ds:itemID="{7A52C54A-AED8-4EB6-8805-B9F3B8184C24}">
  <ds:schemaRefs/>
</ds:datastoreItem>
</file>

<file path=customXml/itemProps33.xml><?xml version="1.0" encoding="utf-8"?>
<ds:datastoreItem xmlns:ds="http://schemas.openxmlformats.org/officeDocument/2006/customXml" ds:itemID="{1DD88D1F-BA85-4C27-9C70-64466B014D96}">
  <ds:schemaRefs/>
</ds:datastoreItem>
</file>

<file path=customXml/itemProps34.xml><?xml version="1.0" encoding="utf-8"?>
<ds:datastoreItem xmlns:ds="http://schemas.openxmlformats.org/officeDocument/2006/customXml" ds:itemID="{EC009854-4312-4B9E-9F7F-0976D64D31F7}">
  <ds:schemaRefs/>
</ds:datastoreItem>
</file>

<file path=customXml/itemProps35.xml><?xml version="1.0" encoding="utf-8"?>
<ds:datastoreItem xmlns:ds="http://schemas.openxmlformats.org/officeDocument/2006/customXml" ds:itemID="{43024B5A-894E-41E0-914F-554C353DC7C3}">
  <ds:schemaRefs/>
</ds:datastoreItem>
</file>

<file path=customXml/itemProps36.xml><?xml version="1.0" encoding="utf-8"?>
<ds:datastoreItem xmlns:ds="http://schemas.openxmlformats.org/officeDocument/2006/customXml" ds:itemID="{80B71FBC-C059-4824-A4A6-07BF9635A681}">
  <ds:schemaRefs/>
</ds:datastoreItem>
</file>

<file path=customXml/itemProps37.xml><?xml version="1.0" encoding="utf-8"?>
<ds:datastoreItem xmlns:ds="http://schemas.openxmlformats.org/officeDocument/2006/customXml" ds:itemID="{B5D4D22E-DA69-4162-BE86-E8C190CA28C4}">
  <ds:schemaRefs/>
</ds:datastoreItem>
</file>

<file path=customXml/itemProps38.xml><?xml version="1.0" encoding="utf-8"?>
<ds:datastoreItem xmlns:ds="http://schemas.openxmlformats.org/officeDocument/2006/customXml" ds:itemID="{16EC0014-E624-4D46-A5DF-651B5C889B62}">
  <ds:schemaRefs/>
</ds:datastoreItem>
</file>

<file path=customXml/itemProps39.xml><?xml version="1.0" encoding="utf-8"?>
<ds:datastoreItem xmlns:ds="http://schemas.openxmlformats.org/officeDocument/2006/customXml" ds:itemID="{06977A3F-D5E4-457C-80E4-7AFA1F4DE821}">
  <ds:schemaRefs/>
</ds:datastoreItem>
</file>

<file path=customXml/itemProps40.xml><?xml version="1.0" encoding="utf-8"?>
<ds:datastoreItem xmlns:ds="http://schemas.openxmlformats.org/officeDocument/2006/customXml" ds:itemID="{2E81A510-5168-4E5B-9CC4-D8D3992F3A15}">
  <ds:schemaRefs/>
</ds:datastoreItem>
</file>

<file path=customXml/itemProps41.xml><?xml version="1.0" encoding="utf-8"?>
<ds:datastoreItem xmlns:ds="http://schemas.openxmlformats.org/officeDocument/2006/customXml" ds:itemID="{9445F38B-688E-4160-B0FE-C5F8EC7CD138}">
  <ds:schemaRefs/>
</ds:datastoreItem>
</file>

<file path=customXml/itemProps42.xml><?xml version="1.0" encoding="utf-8"?>
<ds:datastoreItem xmlns:ds="http://schemas.openxmlformats.org/officeDocument/2006/customXml" ds:itemID="{DBAE4F5B-42DE-4403-AF66-C1F9E733A973}">
  <ds:schemaRefs/>
</ds:datastoreItem>
</file>

<file path=customXml/itemProps43.xml><?xml version="1.0" encoding="utf-8"?>
<ds:datastoreItem xmlns:ds="http://schemas.openxmlformats.org/officeDocument/2006/customXml" ds:itemID="{04BFCCEE-141D-4D60-A4C6-0A34991609AE}">
  <ds:schemaRefs/>
</ds:datastoreItem>
</file>

<file path=customXml/itemProps44.xml><?xml version="1.0" encoding="utf-8"?>
<ds:datastoreItem xmlns:ds="http://schemas.openxmlformats.org/officeDocument/2006/customXml" ds:itemID="{B46F0AB9-AF42-4078-8A57-DE1BEE488204}">
  <ds:schemaRefs/>
</ds:datastoreItem>
</file>

<file path=customXml/itemProps45.xml><?xml version="1.0" encoding="utf-8"?>
<ds:datastoreItem xmlns:ds="http://schemas.openxmlformats.org/officeDocument/2006/customXml" ds:itemID="{F1A23906-4D73-4F9D-9971-C78103BECB63}">
  <ds:schemaRefs/>
</ds:datastoreItem>
</file>

<file path=customXml/itemProps46.xml><?xml version="1.0" encoding="utf-8"?>
<ds:datastoreItem xmlns:ds="http://schemas.openxmlformats.org/officeDocument/2006/customXml" ds:itemID="{07C19C9E-9F78-446D-8225-D4F5BE1670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01_Executive_Overview</vt:lpstr>
      <vt:lpstr>02_Partner_Structure</vt:lpstr>
      <vt:lpstr>03_Sector_Composition</vt:lpstr>
      <vt:lpstr>04_Trade_Balance_Analysis</vt:lpstr>
      <vt:lpstr>Pivot_Backend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Ed-Vir Mercado</dc:creator>
  <cp:lastModifiedBy>Ed-Vir Mercado</cp:lastModifiedBy>
  <dcterms:created xsi:type="dcterms:W3CDTF">2026-02-25T05:44:44Z</dcterms:created>
  <dcterms:modified xsi:type="dcterms:W3CDTF">2026-03-11T04:53:16Z</dcterms:modified>
</cp:coreProperties>
</file>